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9200" windowHeight="8745" tabRatio="831" activeTab="5"/>
  </bookViews>
  <sheets>
    <sheet name="SF Study RM" sheetId="1" r:id="rId1"/>
    <sheet name="IT3 Plan 1" sheetId="2" r:id="rId2"/>
    <sheet name="IT3 Plan 2" sheetId="3" r:id="rId3"/>
    <sheet name="IT3 Plan 3" sheetId="4" r:id="rId4"/>
    <sheet name="IT3 Plan 4" sheetId="5" r:id="rId5"/>
    <sheet name="IT3 Plan 5" sheetId="6" r:id="rId6"/>
  </sheets>
  <externalReferences>
    <externalReference r:id="rId9"/>
    <externalReference r:id="rId10"/>
  </externalReferences>
  <definedNames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2" hidden="1">'[2]ST Corrections'!#REF!</definedName>
    <definedName name="_ATPRegress_Range1" localSheetId="3" hidden="1">'[2]ST Corrections'!#REF!</definedName>
    <definedName name="_ATPRegress_Range1" localSheetId="4" hidden="1">'[2]ST Corrections'!#REF!</definedName>
    <definedName name="_ATPRegress_Range1" localSheetId="5" hidden="1">'[2]ST Corrections'!#REF!</definedName>
    <definedName name="_ATPRegress_Range1" localSheetId="0" hidden="1">'[2]ST Corrections'!#REF!</definedName>
    <definedName name="_ATPRegress_Range1" hidden="1">'[2]ST Corrections'!#REF!</definedName>
    <definedName name="_ATPRegress_Range2" localSheetId="2" hidden="1">'[2]ST Corrections'!#REF!</definedName>
    <definedName name="_ATPRegress_Range2" localSheetId="3" hidden="1">'[2]ST Corrections'!#REF!</definedName>
    <definedName name="_ATPRegress_Range2" localSheetId="4" hidden="1">'[2]ST Corrections'!#REF!</definedName>
    <definedName name="_ATPRegress_Range2" localSheetId="5" hidden="1">'[2]ST Corrections'!#REF!</definedName>
    <definedName name="_ATPRegress_Range2" localSheetId="0" hidden="1">'[2]ST Corrections'!#REF!</definedName>
    <definedName name="_ATPRegress_Range2" hidden="1">'[2]ST Corrections'!#REF!</definedName>
    <definedName name="_ATPRegress_Range3" localSheetId="2" hidden="1">'[2]ST Corrections'!#REF!</definedName>
    <definedName name="_ATPRegress_Range3" localSheetId="3" hidden="1">'[2]ST Corrections'!#REF!</definedName>
    <definedName name="_ATPRegress_Range3" localSheetId="4" hidden="1">'[2]ST Corrections'!#REF!</definedName>
    <definedName name="_ATPRegress_Range3" localSheetId="5" hidden="1">'[2]ST Corrections'!#REF!</definedName>
    <definedName name="_ATPRegress_Range3" localSheetId="0" hidden="1">'[2]ST Corrections'!#REF!</definedName>
    <definedName name="_ATPRegress_Range3" hidden="1">'[2]ST Corrections'!#REF!</definedName>
    <definedName name="_ATPRegress_Range4" hidden="1">"="</definedName>
    <definedName name="_ATPRegress_Range5" hidden="1">"="</definedName>
    <definedName name="_Fill" hidden="1">#REF!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0" hidden="1">1</definedName>
    <definedName name="Add_Eq_Filler">#REF!</definedName>
    <definedName name="Add_small_filler_MW">#REF!</definedName>
    <definedName name="End_Year">#REF!</definedName>
    <definedName name="Eq_filler_Year">#REF!</definedName>
    <definedName name="EqFiller_Size">#REF!</definedName>
    <definedName name="eqfillersizetest">#REF!</definedName>
    <definedName name="Large_filler_End_Year">#REF!</definedName>
    <definedName name="Large_filler_MW">#REF!</definedName>
    <definedName name="Large_Filler_Start_Year">#REF!</definedName>
    <definedName name="NewUnit_Table">#REF!</definedName>
    <definedName name="No_of_PPAs">#REF!</definedName>
    <definedName name="No_Other_PPA">#REF!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PA_ONLYOPTION_YR">#REF!</definedName>
    <definedName name="PPA_TRIGGER">#REF!</definedName>
    <definedName name="_xlnm.Print_Area" localSheetId="1">'IT3 Plan 1'!$A$3:$N$62</definedName>
    <definedName name="_xlnm.Print_Area" localSheetId="2">'IT3 Plan 2'!$A$3:$N$62</definedName>
    <definedName name="_xlnm.Print_Area" localSheetId="3">'IT3 Plan 3'!$A$3:$N$62</definedName>
    <definedName name="_xlnm.Print_Area" localSheetId="4">'IT3 Plan 4'!$A$3:$N$62</definedName>
    <definedName name="_xlnm.Print_Area" localSheetId="5">'IT3 Plan 5'!$A$3:$N$62</definedName>
    <definedName name="_xlnm.Print_Area" localSheetId="0">'SF Study RM'!$A$3:$N$63</definedName>
    <definedName name="Print_Area_MI" localSheetId="1">'IT3 Plan 1'!$A$6:$M$33</definedName>
    <definedName name="Print_Area_MI" localSheetId="2">'IT3 Plan 2'!$A$6:$M$33</definedName>
    <definedName name="Print_Area_MI" localSheetId="3">'IT3 Plan 3'!$A$6:$M$33</definedName>
    <definedName name="Print_Area_MI" localSheetId="4">'IT3 Plan 4'!$A$6:$M$33</definedName>
    <definedName name="Print_Area_MI" localSheetId="5">'IT3 Plan 5'!$A$6:$M$33</definedName>
    <definedName name="Print_Area_MI" localSheetId="0">'SF Study RM'!$A$6:$M$34</definedName>
    <definedName name="Reserve_Margin">#REF!</definedName>
    <definedName name="Reserve_Margin_Gen_Only">#REF!</definedName>
    <definedName name="Small_Filler_Start_Year">#REF!</definedName>
    <definedName name="Solar_add_Table">#REF!</definedName>
    <definedName name="Solar_Degradation">#REF!</definedName>
    <definedName name="Start_Year">#REF!</definedName>
    <definedName name="Start_Year_GenOnlyRM">#REF!</definedName>
    <definedName name="Title_Description">#REF!</definedName>
    <definedName name="wrn.ACTUAL._.ALL._.PAGES." hidden="1">{"ACTUAL",#N/A,FALSE,"OVER_UND"}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</definedNames>
  <calcPr fullCalcOnLoad="1"/>
</workbook>
</file>

<file path=xl/sharedStrings.xml><?xml version="1.0" encoding="utf-8"?>
<sst xmlns="http://schemas.openxmlformats.org/spreadsheetml/2006/main" count="526" uniqueCount="67">
  <si>
    <t>Summer</t>
  </si>
  <si>
    <t>Peak</t>
  </si>
  <si>
    <t>DSM</t>
  </si>
  <si>
    <t>Additions</t>
  </si>
  <si>
    <t>Capacity</t>
  </si>
  <si>
    <t>Year</t>
  </si>
  <si>
    <t>Unit</t>
  </si>
  <si>
    <t>Total</t>
  </si>
  <si>
    <t>MW</t>
  </si>
  <si>
    <t>%</t>
  </si>
  <si>
    <t>Firm</t>
  </si>
  <si>
    <t>Available</t>
  </si>
  <si>
    <t>Demand</t>
  </si>
  <si>
    <t xml:space="preserve">MW </t>
  </si>
  <si>
    <t/>
  </si>
  <si>
    <t xml:space="preserve"> OCEC</t>
  </si>
  <si>
    <t>300 MW Solar</t>
  </si>
  <si>
    <t xml:space="preserve">% </t>
  </si>
  <si>
    <t>Total Reserve Margin</t>
  </si>
  <si>
    <t>MWs</t>
  </si>
  <si>
    <t>Above /</t>
  </si>
  <si>
    <t>(Below)</t>
  </si>
  <si>
    <t>Total RM</t>
  </si>
  <si>
    <t>10% Gen-Only</t>
  </si>
  <si>
    <t>Generation Only Reserve Margin</t>
  </si>
  <si>
    <t>Reserves</t>
  </si>
  <si>
    <t>Southeastern Florida Study</t>
  </si>
  <si>
    <t>Reserve Margin Projection</t>
  </si>
  <si>
    <t>Cumulative</t>
  </si>
  <si>
    <t>DRAFT Privileged &amp; Confidential, Attorney-Client Work Product</t>
  </si>
  <si>
    <t>7 28 2016</t>
  </si>
  <si>
    <t>Filename: 2016 SE Florida Study RM Spreadsheet_rev</t>
  </si>
  <si>
    <t>Plan 1: Battery Intensive (Large Batteries)</t>
  </si>
  <si>
    <t>Battery</t>
  </si>
  <si>
    <t>Solar</t>
  </si>
  <si>
    <t>Nameplate</t>
  </si>
  <si>
    <t>CC</t>
  </si>
  <si>
    <t>MW (Nameplate) =</t>
  </si>
  <si>
    <t>MW (Firm) =</t>
  </si>
  <si>
    <t>Total MW (Firm) =</t>
  </si>
  <si>
    <t>Firm Cap %</t>
  </si>
  <si>
    <t>Starting PV</t>
  </si>
  <si>
    <t>Total PV</t>
  </si>
  <si>
    <t>for Incre.</t>
  </si>
  <si>
    <t>New PV</t>
  </si>
  <si>
    <t>MW nameplate</t>
  </si>
  <si>
    <t>PV</t>
  </si>
  <si>
    <t>Firm MW</t>
  </si>
  <si>
    <t>Incremental PV Firm Capacity Percentage Values per Total Nameplate MW:</t>
  </si>
  <si>
    <t>0 to 500 MW:</t>
  </si>
  <si>
    <t>501 to 1000 MW:</t>
  </si>
  <si>
    <t>1001 to 1500 MW:</t>
  </si>
  <si>
    <t>1501 to 2000 MW:</t>
  </si>
  <si>
    <t>2001 to 2500 MW:</t>
  </si>
  <si>
    <t>2501 to 3000 MW:</t>
  </si>
  <si>
    <t>Iteration 3 Plan 1</t>
  </si>
  <si>
    <t>Iteration 3 Plan 2</t>
  </si>
  <si>
    <t>Plan 2: Battery Only (Small Batteries)</t>
  </si>
  <si>
    <t>Iteration 3 Plan 3</t>
  </si>
  <si>
    <t>Plan 3: Solar Only (Small &amp; Large Solar)</t>
  </si>
  <si>
    <t>Iteration 3 Plan 4</t>
  </si>
  <si>
    <t>Plan 4: Solar and Batteries</t>
  </si>
  <si>
    <t>Plan 5: Solar and Batteries</t>
  </si>
  <si>
    <t>Iteration 3 Plan 5</t>
  </si>
  <si>
    <t>1,414 MW Solar *</t>
  </si>
  <si>
    <t xml:space="preserve"> OCEC Inc MW *</t>
  </si>
  <si>
    <t>* These capacity changes are presented in a way to facilitate comparison to FPL's 2016 TYSP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</si>
</sst>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0.00000"/>
    <numFmt numFmtId="167" formatCode="0.000%"/>
    <numFmt numFmtId="168" formatCode="#,##0.0"/>
    <numFmt numFmtId="169" formatCode="0.000000"/>
    <numFmt numFmtId="170" formatCode="0.0"/>
    <numFmt numFmtId="171" formatCode="m/d/yy;@"/>
    <numFmt numFmtId="172" formatCode="mm/dd/yy;@"/>
    <numFmt numFmtId="173" formatCode="_(* #,##0_);_(* \(#,##0\);_(* &quot;-&quot;??_);_(@_)"/>
    <numFmt numFmtId="174" formatCode="_(* #,##0.0_);_(* \(#,##0.0\);_(* &quot;-&quot;??_);_(@_)"/>
    <numFmt numFmtId="175" formatCode="General_)"/>
    <numFmt numFmtId="176" formatCode="#,##0.0_);\(#,##0.0\)"/>
    <numFmt numFmtId="177" formatCode="0.000_)"/>
    <numFmt numFmtId="178" formatCode="0.00_)"/>
    <numFmt numFmtId="179" formatCode="_(* #,##0.0_);_(* \(#,##0.0\);_(* &quot;-&quot;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0000000"/>
    <numFmt numFmtId="185" formatCode="#,##0.0_);[Red]\(#,##0.0\)"/>
    <numFmt numFmtId="186" formatCode="#,##0.000_);[Red]\(#,##0.000\)"/>
    <numFmt numFmtId="187" formatCode="#,##0.0000_);[Red]\(#,##0.0000\)"/>
    <numFmt numFmtId="188" formatCode="[$-409]dddd\,\ mmmm\ dd\,\ yyyy"/>
    <numFmt numFmtId="189" formatCode="0_);[Red]\(0\)"/>
    <numFmt numFmtId="190" formatCode="0.00_);[Red]\(0.00\)"/>
    <numFmt numFmtId="191" formatCode="0.0_);[Red]\(0.0\)"/>
    <numFmt numFmtId="192" formatCode="0.0000"/>
    <numFmt numFmtId="193" formatCode="0.00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Courier"/>
      <family val="3"/>
    </font>
    <font>
      <sz val="11"/>
      <name val="Times"/>
      <family val="1"/>
    </font>
    <font>
      <b/>
      <i/>
      <sz val="16"/>
      <name val="Helv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Calibri"/>
      <family val="2"/>
    </font>
    <font>
      <b/>
      <i/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</font>
    <font>
      <b/>
      <i/>
      <sz val="10"/>
      <color theme="4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169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78" fontId="7" fillId="0" borderId="0">
      <alignment/>
      <protection/>
    </xf>
    <xf numFmtId="169" fontId="0" fillId="0" borderId="0">
      <alignment horizontal="left" wrapText="1"/>
      <protection/>
    </xf>
    <xf numFmtId="169" fontId="5" fillId="0" borderId="0">
      <alignment horizontal="left" wrapText="1"/>
      <protection/>
    </xf>
    <xf numFmtId="169" fontId="0" fillId="0" borderId="0">
      <alignment horizontal="left" wrapText="1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8">
    <xf numFmtId="0" fontId="0" fillId="0" borderId="0" xfId="0" applyNumberFormat="1" applyAlignment="1">
      <alignment/>
    </xf>
    <xf numFmtId="175" fontId="3" fillId="0" borderId="0" xfId="68" applyNumberFormat="1" applyFont="1" applyAlignment="1">
      <alignment horizontal="center"/>
      <protection/>
    </xf>
    <xf numFmtId="175" fontId="3" fillId="0" borderId="0" xfId="68" applyNumberFormat="1" applyFont="1" applyAlignment="1">
      <alignment/>
      <protection/>
    </xf>
    <xf numFmtId="165" fontId="3" fillId="0" borderId="0" xfId="68" applyNumberFormat="1" applyFont="1" applyAlignment="1" applyProtection="1">
      <alignment horizontal="center"/>
      <protection/>
    </xf>
    <xf numFmtId="175" fontId="3" fillId="0" borderId="0" xfId="68" applyNumberFormat="1" applyFont="1" applyFill="1" applyAlignment="1">
      <alignment/>
      <protection/>
    </xf>
    <xf numFmtId="175" fontId="3" fillId="0" borderId="0" xfId="68" applyNumberFormat="1" applyFont="1" applyFill="1" applyAlignment="1" applyProtection="1">
      <alignment horizontal="left"/>
      <protection/>
    </xf>
    <xf numFmtId="169" fontId="3" fillId="0" borderId="0" xfId="68" applyFont="1" applyFill="1" applyAlignment="1" applyProtection="1">
      <alignment horizontal="left"/>
      <protection/>
    </xf>
    <xf numFmtId="169" fontId="3" fillId="0" borderId="0" xfId="68" applyFont="1">
      <alignment horizontal="left" wrapText="1"/>
      <protection/>
    </xf>
    <xf numFmtId="175" fontId="3" fillId="0" borderId="10" xfId="68" applyNumberFormat="1" applyFont="1" applyBorder="1" applyAlignment="1">
      <alignment horizontal="center"/>
      <protection/>
    </xf>
    <xf numFmtId="175" fontId="3" fillId="0" borderId="11" xfId="68" applyNumberFormat="1" applyFont="1" applyBorder="1" applyAlignment="1">
      <alignment horizontal="center"/>
      <protection/>
    </xf>
    <xf numFmtId="175" fontId="50" fillId="0" borderId="11" xfId="68" applyNumberFormat="1" applyFont="1" applyBorder="1" applyAlignment="1">
      <alignment horizontal="center"/>
      <protection/>
    </xf>
    <xf numFmtId="175" fontId="3" fillId="0" borderId="11" xfId="68" applyNumberFormat="1" applyFont="1" applyBorder="1" applyAlignment="1" applyProtection="1">
      <alignment horizontal="center"/>
      <protection/>
    </xf>
    <xf numFmtId="165" fontId="3" fillId="0" borderId="12" xfId="68" applyNumberFormat="1" applyFont="1" applyBorder="1" applyAlignment="1" applyProtection="1">
      <alignment horizontal="center"/>
      <protection/>
    </xf>
    <xf numFmtId="175" fontId="3" fillId="0" borderId="13" xfId="68" applyNumberFormat="1" applyFont="1" applyBorder="1" applyAlignment="1" applyProtection="1">
      <alignment horizontal="center"/>
      <protection/>
    </xf>
    <xf numFmtId="175" fontId="3" fillId="0" borderId="13" xfId="68" applyNumberFormat="1" applyFont="1" applyBorder="1" applyAlignment="1">
      <alignment horizontal="center"/>
      <protection/>
    </xf>
    <xf numFmtId="165" fontId="3" fillId="0" borderId="12" xfId="68" applyNumberFormat="1" applyFont="1" applyBorder="1" applyAlignment="1">
      <alignment horizontal="center"/>
      <protection/>
    </xf>
    <xf numFmtId="175" fontId="3" fillId="0" borderId="12" xfId="68" applyNumberFormat="1" applyFont="1" applyBorder="1" applyAlignment="1">
      <alignment/>
      <protection/>
    </xf>
    <xf numFmtId="175" fontId="3" fillId="0" borderId="13" xfId="68" applyNumberFormat="1" applyFont="1" applyFill="1" applyBorder="1" applyAlignment="1" applyProtection="1">
      <alignment horizontal="center"/>
      <protection/>
    </xf>
    <xf numFmtId="175" fontId="3" fillId="0" borderId="14" xfId="68" applyNumberFormat="1" applyFont="1" applyFill="1" applyBorder="1" applyAlignment="1" applyProtection="1">
      <alignment horizontal="center"/>
      <protection/>
    </xf>
    <xf numFmtId="175" fontId="3" fillId="0" borderId="12" xfId="68" applyNumberFormat="1" applyFont="1" applyBorder="1" applyAlignment="1" applyProtection="1">
      <alignment horizontal="center"/>
      <protection/>
    </xf>
    <xf numFmtId="175" fontId="3" fillId="0" borderId="14" xfId="68" applyNumberFormat="1" applyFont="1" applyBorder="1" applyAlignment="1" applyProtection="1">
      <alignment horizontal="center"/>
      <protection/>
    </xf>
    <xf numFmtId="175" fontId="3" fillId="0" borderId="15" xfId="68" applyNumberFormat="1" applyFont="1" applyBorder="1" applyAlignment="1" applyProtection="1">
      <alignment horizontal="center"/>
      <protection/>
    </xf>
    <xf numFmtId="175" fontId="3" fillId="0" borderId="16" xfId="68" applyNumberFormat="1" applyFont="1" applyBorder="1" applyAlignment="1" applyProtection="1">
      <alignment horizontal="center"/>
      <protection/>
    </xf>
    <xf numFmtId="175" fontId="3" fillId="0" borderId="17" xfId="68" applyNumberFormat="1" applyFont="1" applyBorder="1" applyAlignment="1" applyProtection="1">
      <alignment horizontal="center"/>
      <protection/>
    </xf>
    <xf numFmtId="175" fontId="3" fillId="0" borderId="15" xfId="67" applyNumberFormat="1" applyFont="1" applyBorder="1" applyAlignment="1" applyProtection="1">
      <alignment horizontal="center"/>
      <protection/>
    </xf>
    <xf numFmtId="175" fontId="3" fillId="0" borderId="16" xfId="67" applyNumberFormat="1" applyFont="1" applyBorder="1" applyAlignment="1" applyProtection="1">
      <alignment horizontal="center"/>
      <protection/>
    </xf>
    <xf numFmtId="175" fontId="3" fillId="0" borderId="18" xfId="67" applyNumberFormat="1" applyFont="1" applyBorder="1" applyAlignment="1" applyProtection="1">
      <alignment horizontal="center"/>
      <protection/>
    </xf>
    <xf numFmtId="175" fontId="3" fillId="0" borderId="18" xfId="68" applyNumberFormat="1" applyFont="1" applyBorder="1" applyAlignment="1" applyProtection="1">
      <alignment horizontal="center"/>
      <protection/>
    </xf>
    <xf numFmtId="175" fontId="3" fillId="0" borderId="0" xfId="68" applyNumberFormat="1" applyFont="1" applyBorder="1" applyAlignment="1" applyProtection="1">
      <alignment horizontal="center"/>
      <protection/>
    </xf>
    <xf numFmtId="175" fontId="3" fillId="0" borderId="0" xfId="67" applyNumberFormat="1" applyFont="1" applyBorder="1" applyAlignment="1" applyProtection="1">
      <alignment/>
      <protection/>
    </xf>
    <xf numFmtId="37" fontId="3" fillId="0" borderId="18" xfId="68" applyNumberFormat="1" applyFont="1" applyFill="1" applyBorder="1" applyAlignment="1" applyProtection="1">
      <alignment horizontal="center"/>
      <protection/>
    </xf>
    <xf numFmtId="37" fontId="3" fillId="0" borderId="15" xfId="68" applyNumberFormat="1" applyFont="1" applyFill="1" applyBorder="1" applyAlignment="1" applyProtection="1">
      <alignment horizontal="center"/>
      <protection/>
    </xf>
    <xf numFmtId="176" fontId="3" fillId="0" borderId="0" xfId="68" applyNumberFormat="1" applyFont="1" applyFill="1" applyBorder="1" applyAlignment="1" applyProtection="1">
      <alignment horizontal="center"/>
      <protection/>
    </xf>
    <xf numFmtId="176" fontId="3" fillId="0" borderId="16" xfId="68" applyNumberFormat="1" applyFont="1" applyFill="1" applyBorder="1" applyAlignment="1" applyProtection="1">
      <alignment horizontal="center"/>
      <protection/>
    </xf>
    <xf numFmtId="170" fontId="3" fillId="0" borderId="0" xfId="67" applyNumberFormat="1" applyFont="1" applyBorder="1" applyAlignment="1" applyProtection="1">
      <alignment horizontal="center"/>
      <protection/>
    </xf>
    <xf numFmtId="170" fontId="3" fillId="0" borderId="16" xfId="67" applyNumberFormat="1" applyFont="1" applyBorder="1" applyAlignment="1" applyProtection="1">
      <alignment horizontal="center"/>
      <protection/>
    </xf>
    <xf numFmtId="38" fontId="3" fillId="0" borderId="11" xfId="68" applyNumberFormat="1" applyFont="1" applyFill="1" applyBorder="1" applyAlignment="1" applyProtection="1">
      <alignment horizontal="center"/>
      <protection/>
    </xf>
    <xf numFmtId="38" fontId="3" fillId="0" borderId="17" xfId="68" applyNumberFormat="1" applyFont="1" applyFill="1" applyBorder="1" applyAlignment="1" applyProtection="1">
      <alignment horizontal="center"/>
      <protection/>
    </xf>
    <xf numFmtId="38" fontId="3" fillId="0" borderId="11" xfId="68" applyNumberFormat="1" applyFont="1" applyFill="1" applyBorder="1" applyAlignment="1">
      <alignment horizontal="center"/>
      <protection/>
    </xf>
    <xf numFmtId="38" fontId="3" fillId="0" borderId="17" xfId="68" applyNumberFormat="1" applyFont="1" applyFill="1" applyBorder="1" applyAlignment="1">
      <alignment horizontal="center"/>
      <protection/>
    </xf>
    <xf numFmtId="165" fontId="3" fillId="0" borderId="0" xfId="68" applyNumberFormat="1" applyFont="1" applyAlignment="1">
      <alignment horizontal="center"/>
      <protection/>
    </xf>
    <xf numFmtId="175" fontId="3" fillId="0" borderId="0" xfId="68" applyNumberFormat="1" applyFont="1" applyAlignment="1">
      <alignment horizontal="right"/>
      <protection/>
    </xf>
    <xf numFmtId="175" fontId="51" fillId="0" borderId="0" xfId="68" applyNumberFormat="1" applyFont="1" applyAlignment="1">
      <alignment horizontal="left"/>
      <protection/>
    </xf>
    <xf numFmtId="37" fontId="3" fillId="0" borderId="13" xfId="68" applyNumberFormat="1" applyFont="1" applyFill="1" applyBorder="1" applyAlignment="1" applyProtection="1">
      <alignment horizontal="center"/>
      <protection/>
    </xf>
    <xf numFmtId="37" fontId="3" fillId="0" borderId="14" xfId="68" applyNumberFormat="1" applyFont="1" applyFill="1" applyBorder="1" applyAlignment="1" applyProtection="1">
      <alignment horizontal="center"/>
      <protection/>
    </xf>
    <xf numFmtId="175" fontId="3" fillId="33" borderId="12" xfId="68" applyNumberFormat="1" applyFont="1" applyFill="1" applyBorder="1" applyAlignment="1">
      <alignment/>
      <protection/>
    </xf>
    <xf numFmtId="175" fontId="3" fillId="33" borderId="13" xfId="68" applyNumberFormat="1" applyFont="1" applyFill="1" applyBorder="1" applyAlignment="1">
      <alignment horizontal="center"/>
      <protection/>
    </xf>
    <xf numFmtId="175" fontId="3" fillId="33" borderId="14" xfId="68" applyNumberFormat="1" applyFont="1" applyFill="1" applyBorder="1" applyAlignment="1" applyProtection="1">
      <alignment horizontal="center"/>
      <protection/>
    </xf>
    <xf numFmtId="175" fontId="3" fillId="33" borderId="13" xfId="68" applyNumberFormat="1" applyFont="1" applyFill="1" applyBorder="1" applyAlignment="1" applyProtection="1">
      <alignment horizontal="center"/>
      <protection/>
    </xf>
    <xf numFmtId="175" fontId="3" fillId="0" borderId="19" xfId="68" applyNumberFormat="1" applyFont="1" applyFill="1" applyBorder="1" applyAlignment="1" applyProtection="1">
      <alignment horizontal="center"/>
      <protection/>
    </xf>
    <xf numFmtId="37" fontId="3" fillId="0" borderId="19" xfId="68" applyNumberFormat="1" applyFont="1" applyFill="1" applyBorder="1" applyAlignment="1" applyProtection="1">
      <alignment horizontal="center"/>
      <protection/>
    </xf>
    <xf numFmtId="37" fontId="3" fillId="0" borderId="20" xfId="68" applyNumberFormat="1" applyFont="1" applyFill="1" applyBorder="1" applyAlignment="1" applyProtection="1">
      <alignment horizontal="center"/>
      <protection/>
    </xf>
    <xf numFmtId="176" fontId="3" fillId="0" borderId="21" xfId="68" applyNumberFormat="1" applyFont="1" applyFill="1" applyBorder="1" applyAlignment="1" applyProtection="1">
      <alignment horizontal="center"/>
      <protection/>
    </xf>
    <xf numFmtId="38" fontId="3" fillId="0" borderId="22" xfId="68" applyNumberFormat="1" applyFont="1" applyFill="1" applyBorder="1" applyAlignment="1" applyProtection="1">
      <alignment horizontal="center"/>
      <protection/>
    </xf>
    <xf numFmtId="170" fontId="3" fillId="0" borderId="21" xfId="67" applyNumberFormat="1" applyFont="1" applyBorder="1" applyAlignment="1" applyProtection="1">
      <alignment horizontal="center"/>
      <protection/>
    </xf>
    <xf numFmtId="38" fontId="3" fillId="0" borderId="22" xfId="68" applyNumberFormat="1" applyFont="1" applyFill="1" applyBorder="1" applyAlignment="1">
      <alignment horizontal="center"/>
      <protection/>
    </xf>
    <xf numFmtId="169" fontId="52" fillId="0" borderId="23" xfId="0" applyFont="1" applyBorder="1" applyAlignment="1">
      <alignment/>
    </xf>
    <xf numFmtId="169" fontId="52" fillId="0" borderId="12" xfId="0" applyFont="1" applyBorder="1" applyAlignment="1">
      <alignment horizontal="center"/>
    </xf>
    <xf numFmtId="169" fontId="52" fillId="0" borderId="10" xfId="0" applyFont="1" applyBorder="1" applyAlignment="1">
      <alignment horizontal="center"/>
    </xf>
    <xf numFmtId="169" fontId="52" fillId="0" borderId="18" xfId="0" applyFont="1" applyBorder="1" applyAlignment="1">
      <alignment/>
    </xf>
    <xf numFmtId="169" fontId="52" fillId="0" borderId="13" xfId="0" applyFont="1" applyBorder="1" applyAlignment="1">
      <alignment horizontal="center"/>
    </xf>
    <xf numFmtId="169" fontId="52" fillId="0" borderId="11" xfId="0" applyFont="1" applyBorder="1" applyAlignment="1">
      <alignment horizontal="center"/>
    </xf>
    <xf numFmtId="169" fontId="52" fillId="0" borderId="18" xfId="0" applyFont="1" applyBorder="1" applyAlignment="1">
      <alignment horizontal="center"/>
    </xf>
    <xf numFmtId="169" fontId="52" fillId="0" borderId="14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69" fontId="52" fillId="0" borderId="24" xfId="0" applyFont="1" applyBorder="1" applyAlignment="1">
      <alignment horizontal="center" wrapText="1"/>
    </xf>
    <xf numFmtId="3" fontId="52" fillId="0" borderId="24" xfId="0" applyNumberFormat="1" applyFont="1" applyBorder="1" applyAlignment="1">
      <alignment horizontal="center" vertical="center"/>
    </xf>
    <xf numFmtId="169" fontId="52" fillId="0" borderId="24" xfId="0" applyFont="1" applyBorder="1" applyAlignment="1">
      <alignment horizontal="center" vertical="center" wrapText="1"/>
    </xf>
    <xf numFmtId="3" fontId="52" fillId="34" borderId="24" xfId="0" applyNumberFormat="1" applyFont="1" applyFill="1" applyBorder="1" applyAlignment="1">
      <alignment horizontal="center" vertical="center"/>
    </xf>
    <xf numFmtId="169" fontId="52" fillId="0" borderId="0" xfId="0" applyFont="1" applyFill="1" applyBorder="1" applyAlignment="1">
      <alignment/>
    </xf>
    <xf numFmtId="1" fontId="0" fillId="0" borderId="24" xfId="0" applyNumberFormat="1" applyBorder="1" applyAlignment="1">
      <alignment horizontal="center"/>
    </xf>
    <xf numFmtId="169" fontId="0" fillId="0" borderId="0" xfId="0" applyAlignment="1">
      <alignment/>
    </xf>
    <xf numFmtId="169" fontId="52" fillId="0" borderId="0" xfId="0" applyFont="1" applyAlignment="1">
      <alignment horizontal="center"/>
    </xf>
    <xf numFmtId="169" fontId="52" fillId="0" borderId="0" xfId="0" applyFont="1" applyBorder="1" applyAlignment="1">
      <alignment horizontal="center"/>
    </xf>
    <xf numFmtId="169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0" fontId="52" fillId="3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9" fontId="52" fillId="33" borderId="23" xfId="0" applyFont="1" applyFill="1" applyBorder="1" applyAlignment="1">
      <alignment/>
    </xf>
    <xf numFmtId="169" fontId="0" fillId="33" borderId="25" xfId="0" applyFill="1" applyBorder="1" applyAlignment="1">
      <alignment/>
    </xf>
    <xf numFmtId="169" fontId="0" fillId="33" borderId="10" xfId="0" applyFill="1" applyBorder="1" applyAlignment="1">
      <alignment/>
    </xf>
    <xf numFmtId="169" fontId="0" fillId="33" borderId="18" xfId="0" applyFill="1" applyBorder="1" applyAlignment="1">
      <alignment/>
    </xf>
    <xf numFmtId="169" fontId="0" fillId="33" borderId="0" xfId="0" applyFill="1" applyBorder="1" applyAlignment="1">
      <alignment/>
    </xf>
    <xf numFmtId="169" fontId="0" fillId="33" borderId="11" xfId="0" applyFill="1" applyBorder="1" applyAlignment="1">
      <alignment/>
    </xf>
    <xf numFmtId="9" fontId="0" fillId="33" borderId="0" xfId="0" applyNumberFormat="1" applyFill="1" applyBorder="1" applyAlignment="1">
      <alignment horizontal="center"/>
    </xf>
    <xf numFmtId="169" fontId="0" fillId="33" borderId="15" xfId="0" applyFill="1" applyBorder="1" applyAlignment="1">
      <alignment/>
    </xf>
    <xf numFmtId="169" fontId="0" fillId="33" borderId="16" xfId="0" applyFill="1" applyBorder="1" applyAlignment="1">
      <alignment/>
    </xf>
    <xf numFmtId="9" fontId="0" fillId="33" borderId="16" xfId="0" applyNumberFormat="1" applyFill="1" applyBorder="1" applyAlignment="1">
      <alignment horizontal="center"/>
    </xf>
    <xf numFmtId="169" fontId="0" fillId="33" borderId="17" xfId="0" applyFill="1" applyBorder="1" applyAlignment="1">
      <alignment/>
    </xf>
    <xf numFmtId="37" fontId="3" fillId="33" borderId="13" xfId="68" applyNumberFormat="1" applyFont="1" applyFill="1" applyBorder="1" applyAlignment="1" applyProtection="1">
      <alignment horizontal="center"/>
      <protection/>
    </xf>
    <xf numFmtId="37" fontId="3" fillId="33" borderId="14" xfId="68" applyNumberFormat="1" applyFont="1" applyFill="1" applyBorder="1" applyAlignment="1" applyProtection="1">
      <alignment horizontal="center"/>
      <protection/>
    </xf>
    <xf numFmtId="169" fontId="3" fillId="0" borderId="11" xfId="68" applyFont="1" applyBorder="1" applyAlignment="1" quotePrefix="1">
      <alignment horizontal="left"/>
      <protection/>
    </xf>
    <xf numFmtId="175" fontId="3" fillId="2" borderId="0" xfId="68" applyNumberFormat="1" applyFont="1" applyFill="1" applyAlignment="1">
      <alignment horizontal="center"/>
      <protection/>
    </xf>
    <xf numFmtId="37" fontId="3" fillId="33" borderId="19" xfId="68" applyNumberFormat="1" applyFont="1" applyFill="1" applyBorder="1" applyAlignment="1" applyProtection="1">
      <alignment horizontal="center"/>
      <protection/>
    </xf>
    <xf numFmtId="175" fontId="53" fillId="2" borderId="0" xfId="68" applyNumberFormat="1" applyFont="1" applyFill="1" applyAlignment="1">
      <alignment horizontal="center"/>
      <protection/>
    </xf>
    <xf numFmtId="175" fontId="54" fillId="2" borderId="0" xfId="68" applyNumberFormat="1" applyFont="1" applyFill="1" applyAlignment="1">
      <alignment horizontal="left"/>
      <protection/>
    </xf>
    <xf numFmtId="169" fontId="52" fillId="0" borderId="0" xfId="0" applyFont="1" applyBorder="1" applyAlignment="1">
      <alignment horizontal="right"/>
    </xf>
    <xf numFmtId="170" fontId="52" fillId="32" borderId="0" xfId="0" applyNumberFormat="1" applyFont="1" applyFill="1" applyAlignment="1">
      <alignment horizontal="center"/>
    </xf>
    <xf numFmtId="1" fontId="52" fillId="32" borderId="0" xfId="0" applyNumberFormat="1" applyFont="1" applyFill="1" applyAlignment="1">
      <alignment horizontal="center"/>
    </xf>
    <xf numFmtId="3" fontId="52" fillId="32" borderId="24" xfId="0" applyNumberFormat="1" applyFont="1" applyFill="1" applyBorder="1" applyAlignment="1">
      <alignment horizontal="center" vertical="center"/>
    </xf>
    <xf numFmtId="175" fontId="3" fillId="0" borderId="23" xfId="68" applyNumberFormat="1" applyFont="1" applyBorder="1" applyAlignment="1">
      <alignment horizontal="center"/>
      <protection/>
    </xf>
    <xf numFmtId="175" fontId="3" fillId="0" borderId="25" xfId="68" applyNumberFormat="1" applyFont="1" applyBorder="1" applyAlignment="1">
      <alignment horizontal="center"/>
      <protection/>
    </xf>
    <xf numFmtId="175" fontId="3" fillId="0" borderId="18" xfId="68" applyNumberFormat="1" applyFont="1" applyBorder="1" applyAlignment="1">
      <alignment horizontal="center"/>
      <protection/>
    </xf>
    <xf numFmtId="175" fontId="3" fillId="0" borderId="0" xfId="68" applyNumberFormat="1" applyFont="1" applyBorder="1" applyAlignment="1">
      <alignment horizontal="center"/>
      <protection/>
    </xf>
    <xf numFmtId="175" fontId="3" fillId="0" borderId="18" xfId="67" applyNumberFormat="1" applyFont="1" applyBorder="1" applyAlignment="1">
      <alignment horizontal="center"/>
      <protection/>
    </xf>
    <xf numFmtId="175" fontId="3" fillId="0" borderId="0" xfId="67" applyNumberFormat="1" applyFont="1" applyBorder="1" applyAlignment="1">
      <alignment horizontal="center"/>
      <protection/>
    </xf>
    <xf numFmtId="169" fontId="55" fillId="33" borderId="26" xfId="0" applyFont="1" applyFill="1" applyBorder="1" applyAlignment="1">
      <alignment horizontal="center"/>
    </xf>
    <xf numFmtId="169" fontId="55" fillId="33" borderId="27" xfId="0" applyFont="1" applyFill="1" applyBorder="1" applyAlignment="1">
      <alignment horizontal="center"/>
    </xf>
    <xf numFmtId="169" fontId="55" fillId="33" borderId="28" xfId="0" applyFont="1" applyFill="1" applyBorder="1" applyAlignment="1">
      <alignment horizontal="center"/>
    </xf>
    <xf numFmtId="175" fontId="9" fillId="0" borderId="0" xfId="68" applyNumberFormat="1" applyFont="1" applyAlignment="1" applyProtection="1">
      <alignment horizontal="center"/>
      <protection/>
    </xf>
    <xf numFmtId="165" fontId="3" fillId="0" borderId="26" xfId="68" applyNumberFormat="1" applyFont="1" applyBorder="1" applyAlignment="1" applyProtection="1">
      <alignment horizontal="center"/>
      <protection/>
    </xf>
    <xf numFmtId="165" fontId="3" fillId="0" borderId="27" xfId="68" applyNumberFormat="1" applyFont="1" applyBorder="1" applyAlignment="1" applyProtection="1">
      <alignment horizontal="center"/>
      <protection/>
    </xf>
    <xf numFmtId="165" fontId="3" fillId="0" borderId="28" xfId="68" applyNumberFormat="1" applyFont="1" applyBorder="1" applyAlignment="1" applyProtection="1">
      <alignment horizontal="center"/>
      <protection/>
    </xf>
    <xf numFmtId="175" fontId="3" fillId="0" borderId="26" xfId="68" applyNumberFormat="1" applyFont="1" applyBorder="1" applyAlignment="1">
      <alignment horizontal="center"/>
      <protection/>
    </xf>
    <xf numFmtId="175" fontId="3" fillId="0" borderId="27" xfId="68" applyNumberFormat="1" applyFont="1" applyBorder="1" applyAlignment="1">
      <alignment horizontal="center"/>
      <protection/>
    </xf>
    <xf numFmtId="175" fontId="3" fillId="0" borderId="28" xfId="68" applyNumberFormat="1" applyFont="1" applyBorder="1" applyAlignment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 - Style1" xfId="43"/>
    <cellStyle name="Comma  - Style2" xfId="44"/>
    <cellStyle name="Comma  - Style3" xfId="45"/>
    <cellStyle name="Comma  - Style4" xfId="46"/>
    <cellStyle name="Comma  - Style5" xfId="47"/>
    <cellStyle name="Comma  - Style6" xfId="48"/>
    <cellStyle name="Comma  - Style7" xfId="49"/>
    <cellStyle name="Comma  - Style8" xfId="50"/>
    <cellStyle name="Comma [0]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- Style1" xfId="65"/>
    <cellStyle name="Normal 2" xfId="66"/>
    <cellStyle name="Normal 3" xfId="67"/>
    <cellStyle name="Normal_schedule 7.1-0826" xfId="68"/>
    <cellStyle name="Note" xfId="69"/>
    <cellStyle name="Output" xfId="70"/>
    <cellStyle name="Percent" xfId="71"/>
    <cellStyle name="Percent 2" xfId="72"/>
    <cellStyle name="Percent 3" xfId="73"/>
    <cellStyle name="Title" xfId="74"/>
    <cellStyle name="Total" xfId="75"/>
    <cellStyle name="Warning Text" xfId="76"/>
  </cellStyles>
  <dxfs count="2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numFmt numFmtId="189" formatCode="0_);[Red]\(0\)"/>
      <fill>
        <patternFill>
          <bgColor rgb="FFFFC7CE"/>
        </patternFill>
      </fill>
      <border/>
    </dxf>
    <dxf>
      <font>
        <color rgb="FF006100"/>
      </font>
      <numFmt numFmtId="170" formatCode="0.0"/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2-PPC_2007\TYSP07\RESULTS\checking%20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BCYC\PMG\performance\UNIT4P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sues"/>
      <sheetName val="fuel class"/>
      <sheetName val="Char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  <sheetName val="Pick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 transitionEvaluation="1" transitionEntry="1">
    <tabColor theme="0" tint="-0.4999699890613556"/>
  </sheetPr>
  <dimension ref="A3:N63"/>
  <sheetViews>
    <sheetView showGridLines="0" zoomScalePageLayoutView="0" workbookViewId="0" topLeftCell="A1">
      <selection activeCell="A1" sqref="A1:IV2"/>
    </sheetView>
  </sheetViews>
  <sheetFormatPr defaultColWidth="12.7109375" defaultRowHeight="12.75"/>
  <cols>
    <col min="1" max="1" width="6.8515625" style="1" customWidth="1"/>
    <col min="2" max="2" width="14.57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3" spans="2:14" ht="12.75">
      <c r="B3" s="42" t="s">
        <v>29</v>
      </c>
      <c r="C3" s="42"/>
      <c r="D3" s="42"/>
      <c r="N3" s="41" t="s">
        <v>31</v>
      </c>
    </row>
    <row r="4" spans="5:14" ht="12.75">
      <c r="E4" s="1"/>
      <c r="N4" s="1" t="s">
        <v>30</v>
      </c>
    </row>
    <row r="5" spans="5:14" ht="12.75">
      <c r="E5" s="1"/>
      <c r="N5" s="1"/>
    </row>
    <row r="6" spans="1:14" ht="15.75">
      <c r="A6" s="111" t="s">
        <v>26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15.75">
      <c r="A7" s="111" t="s">
        <v>27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4" ht="12.75">
      <c r="A8" s="2"/>
      <c r="B8" s="2"/>
      <c r="C8" s="2"/>
      <c r="D8" s="2"/>
    </row>
    <row r="9" spans="1:14" ht="12.75">
      <c r="A9" s="3">
        <v>-1</v>
      </c>
      <c r="B9" s="3">
        <v>-2</v>
      </c>
      <c r="C9" s="3">
        <v>-3</v>
      </c>
      <c r="D9" s="3">
        <v>-4</v>
      </c>
      <c r="E9" s="3">
        <v>-5</v>
      </c>
      <c r="F9" s="3">
        <v>-6</v>
      </c>
      <c r="G9" s="3">
        <v>-7</v>
      </c>
      <c r="H9" s="3">
        <v>-8</v>
      </c>
      <c r="I9" s="3">
        <v>-9</v>
      </c>
      <c r="J9" s="3">
        <v>-10</v>
      </c>
      <c r="K9" s="3">
        <v>-11</v>
      </c>
      <c r="L9" s="3">
        <v>-12</v>
      </c>
      <c r="M9" s="3">
        <v>-13</v>
      </c>
      <c r="N9" s="40">
        <v>-14</v>
      </c>
    </row>
    <row r="10" spans="1:14" ht="12.75" hidden="1">
      <c r="A10" s="3">
        <v>-1</v>
      </c>
      <c r="B10" s="3">
        <v>-2</v>
      </c>
      <c r="C10" s="3"/>
      <c r="D10" s="3"/>
      <c r="E10" s="3">
        <v>-3</v>
      </c>
      <c r="F10" s="3">
        <v>-4</v>
      </c>
      <c r="G10" s="3">
        <v>-5</v>
      </c>
      <c r="H10" s="3">
        <v>-6</v>
      </c>
      <c r="I10" s="3">
        <v>-7</v>
      </c>
      <c r="J10" s="3">
        <v>-8</v>
      </c>
      <c r="K10" s="3">
        <v>-9</v>
      </c>
      <c r="L10" s="3">
        <v>-10</v>
      </c>
      <c r="M10" s="3">
        <v>-11</v>
      </c>
      <c r="N10" s="40">
        <v>-12</v>
      </c>
    </row>
    <row r="11" spans="1:14" ht="12.75">
      <c r="A11" s="19"/>
      <c r="B11" s="16"/>
      <c r="C11" s="12"/>
      <c r="D11" s="45"/>
      <c r="E11" s="12"/>
      <c r="F11" s="15"/>
      <c r="G11" s="12"/>
      <c r="H11" s="12"/>
      <c r="I11" s="112" t="s">
        <v>18</v>
      </c>
      <c r="J11" s="113"/>
      <c r="K11" s="114"/>
      <c r="L11" s="115" t="s">
        <v>24</v>
      </c>
      <c r="M11" s="116"/>
      <c r="N11" s="117"/>
    </row>
    <row r="12" spans="1:14" ht="12.75">
      <c r="A12" s="14"/>
      <c r="B12" s="14"/>
      <c r="C12" s="13" t="s">
        <v>7</v>
      </c>
      <c r="D12" s="46" t="s">
        <v>28</v>
      </c>
      <c r="E12" s="13" t="s">
        <v>7</v>
      </c>
      <c r="F12" s="14"/>
      <c r="G12" s="14"/>
      <c r="H12" s="13" t="s">
        <v>10</v>
      </c>
      <c r="I12" s="102"/>
      <c r="J12" s="103"/>
      <c r="K12" s="8" t="s">
        <v>19</v>
      </c>
      <c r="L12" s="102"/>
      <c r="M12" s="103"/>
      <c r="N12" s="8" t="s">
        <v>19</v>
      </c>
    </row>
    <row r="13" spans="1:14" ht="12.75">
      <c r="A13" s="14"/>
      <c r="B13" s="14"/>
      <c r="C13" s="14" t="s">
        <v>10</v>
      </c>
      <c r="D13" s="46" t="s">
        <v>10</v>
      </c>
      <c r="E13" s="14" t="s">
        <v>10</v>
      </c>
      <c r="F13" s="13" t="s">
        <v>7</v>
      </c>
      <c r="G13" s="14"/>
      <c r="H13" s="13" t="s">
        <v>0</v>
      </c>
      <c r="I13" s="104"/>
      <c r="J13" s="105"/>
      <c r="K13" s="9" t="s">
        <v>20</v>
      </c>
      <c r="L13" s="104"/>
      <c r="M13" s="105"/>
      <c r="N13" s="9" t="s">
        <v>20</v>
      </c>
    </row>
    <row r="14" spans="1:14" ht="15.75" customHeight="1">
      <c r="A14" s="14"/>
      <c r="B14" s="14"/>
      <c r="C14" s="13" t="s">
        <v>4</v>
      </c>
      <c r="D14" s="46" t="s">
        <v>4</v>
      </c>
      <c r="E14" s="13" t="s">
        <v>4</v>
      </c>
      <c r="F14" s="13" t="s">
        <v>1</v>
      </c>
      <c r="G14" s="13"/>
      <c r="H14" s="13" t="s">
        <v>1</v>
      </c>
      <c r="I14" s="104"/>
      <c r="J14" s="105"/>
      <c r="K14" s="10" t="s">
        <v>21</v>
      </c>
      <c r="L14" s="106"/>
      <c r="M14" s="107"/>
      <c r="N14" s="10" t="s">
        <v>21</v>
      </c>
    </row>
    <row r="15" spans="1:14" ht="15" customHeight="1">
      <c r="A15" s="14"/>
      <c r="B15" s="14" t="s">
        <v>6</v>
      </c>
      <c r="C15" s="13" t="s">
        <v>11</v>
      </c>
      <c r="D15" s="46" t="s">
        <v>3</v>
      </c>
      <c r="E15" s="13" t="s">
        <v>11</v>
      </c>
      <c r="F15" s="13" t="s">
        <v>12</v>
      </c>
      <c r="G15" s="13" t="s">
        <v>2</v>
      </c>
      <c r="H15" s="14" t="s">
        <v>12</v>
      </c>
      <c r="I15" s="27" t="s">
        <v>25</v>
      </c>
      <c r="J15" s="28"/>
      <c r="K15" s="11" t="s">
        <v>22</v>
      </c>
      <c r="L15" s="26" t="s">
        <v>25</v>
      </c>
      <c r="M15" s="29"/>
      <c r="N15" s="11" t="s">
        <v>23</v>
      </c>
    </row>
    <row r="16" spans="1:14" ht="12.75">
      <c r="A16" s="20" t="s">
        <v>5</v>
      </c>
      <c r="B16" s="20" t="s">
        <v>3</v>
      </c>
      <c r="C16" s="20" t="s">
        <v>8</v>
      </c>
      <c r="D16" s="47" t="s">
        <v>8</v>
      </c>
      <c r="E16" s="20" t="s">
        <v>8</v>
      </c>
      <c r="F16" s="20" t="s">
        <v>8</v>
      </c>
      <c r="G16" s="20" t="s">
        <v>8</v>
      </c>
      <c r="H16" s="20" t="s">
        <v>8</v>
      </c>
      <c r="I16" s="21" t="s">
        <v>8</v>
      </c>
      <c r="J16" s="22" t="s">
        <v>9</v>
      </c>
      <c r="K16" s="23" t="s">
        <v>8</v>
      </c>
      <c r="L16" s="24" t="s">
        <v>13</v>
      </c>
      <c r="M16" s="25" t="s">
        <v>17</v>
      </c>
      <c r="N16" s="23" t="s">
        <v>8</v>
      </c>
    </row>
    <row r="17" spans="1:14" s="4" customFormat="1" ht="12.75" hidden="1">
      <c r="A17" s="17">
        <v>2016</v>
      </c>
      <c r="B17" s="17"/>
      <c r="C17" s="43">
        <v>27238.0286375</v>
      </c>
      <c r="D17" s="48">
        <v>0</v>
      </c>
      <c r="E17" s="43">
        <f>C17+D17</f>
        <v>27238.0286375</v>
      </c>
      <c r="F17" s="43">
        <v>24169.686546596025</v>
      </c>
      <c r="G17" s="43">
        <v>1842.4666740400107</v>
      </c>
      <c r="H17" s="43">
        <f aca="true" t="shared" si="0" ref="H17:H26">F17-G17</f>
        <v>22327.219872556016</v>
      </c>
      <c r="I17" s="30">
        <f>E17-H17</f>
        <v>4910.808764943984</v>
      </c>
      <c r="J17" s="32">
        <f aca="true" t="shared" si="1" ref="J17:J26">I17/H17*100</f>
        <v>21.994716731303438</v>
      </c>
      <c r="K17" s="36">
        <f>E17-H17*1.2</f>
        <v>445.36479043278086</v>
      </c>
      <c r="L17" s="30">
        <f>E17-F17</f>
        <v>3068.342090903974</v>
      </c>
      <c r="M17" s="34">
        <f aca="true" t="shared" si="2" ref="M17:M31">L17/F17*100</f>
        <v>12.695001587995804</v>
      </c>
      <c r="N17" s="38">
        <f>E17-F17*1.1</f>
        <v>651.3734362443683</v>
      </c>
    </row>
    <row r="18" spans="1:14" s="4" customFormat="1" ht="12.75" hidden="1">
      <c r="A18" s="17">
        <f aca="true" t="shared" si="3" ref="A18:A31">A17+1</f>
        <v>2017</v>
      </c>
      <c r="B18" s="17"/>
      <c r="C18" s="43">
        <v>26881.95290135625</v>
      </c>
      <c r="D18" s="48">
        <v>0</v>
      </c>
      <c r="E18" s="43">
        <f>C18+D18</f>
        <v>26881.95290135625</v>
      </c>
      <c r="F18" s="43">
        <v>24336.040599945238</v>
      </c>
      <c r="G18" s="43">
        <v>1934.8048828331127</v>
      </c>
      <c r="H18" s="43">
        <f t="shared" si="0"/>
        <v>22401.235717112126</v>
      </c>
      <c r="I18" s="30">
        <f aca="true" t="shared" si="4" ref="I18:I26">E18-H18</f>
        <v>4480.717184244124</v>
      </c>
      <c r="J18" s="32">
        <f t="shared" si="1"/>
        <v>20.002098280771804</v>
      </c>
      <c r="K18" s="36">
        <f aca="true" t="shared" si="5" ref="K18:K31">E18-H18*1.2</f>
        <v>0.4700408216995129</v>
      </c>
      <c r="L18" s="30">
        <f aca="true" t="shared" si="6" ref="L18:L31">E18-F18</f>
        <v>2545.912301411012</v>
      </c>
      <c r="M18" s="34">
        <f t="shared" si="2"/>
        <v>10.461489373981161</v>
      </c>
      <c r="N18" s="38">
        <f aca="true" t="shared" si="7" ref="N18:N31">E18-F18*1.1</f>
        <v>112.30824141648554</v>
      </c>
    </row>
    <row r="19" spans="1:14" s="4" customFormat="1" ht="12.75" hidden="1">
      <c r="A19" s="17">
        <f t="shared" si="3"/>
        <v>2018</v>
      </c>
      <c r="B19" s="17"/>
      <c r="C19" s="43">
        <v>27133.509127497437</v>
      </c>
      <c r="D19" s="48">
        <v>0</v>
      </c>
      <c r="E19" s="43">
        <f aca="true" t="shared" si="8" ref="E19:E30">C19+D19</f>
        <v>27133.509127497437</v>
      </c>
      <c r="F19" s="43">
        <v>24606.278955403854</v>
      </c>
      <c r="G19" s="43">
        <v>1995.2014194263602</v>
      </c>
      <c r="H19" s="43">
        <f t="shared" si="0"/>
        <v>22611.077535977493</v>
      </c>
      <c r="I19" s="30">
        <f t="shared" si="4"/>
        <v>4522.431591519944</v>
      </c>
      <c r="J19" s="32">
        <f t="shared" si="1"/>
        <v>20.000955656907998</v>
      </c>
      <c r="K19" s="36">
        <f t="shared" si="5"/>
        <v>0.21608432444554637</v>
      </c>
      <c r="L19" s="30">
        <f t="shared" si="6"/>
        <v>2527.230172093583</v>
      </c>
      <c r="M19" s="34">
        <f t="shared" si="2"/>
        <v>10.270671874743462</v>
      </c>
      <c r="N19" s="38">
        <f t="shared" si="7"/>
        <v>66.60227655319613</v>
      </c>
    </row>
    <row r="20" spans="1:14" s="4" customFormat="1" ht="12.75">
      <c r="A20" s="17">
        <f t="shared" si="3"/>
        <v>2019</v>
      </c>
      <c r="B20" s="17" t="s">
        <v>15</v>
      </c>
      <c r="C20" s="43">
        <v>28551.067017858702</v>
      </c>
      <c r="D20" s="91">
        <v>0</v>
      </c>
      <c r="E20" s="43">
        <f t="shared" si="8"/>
        <v>28551.067017858702</v>
      </c>
      <c r="F20" s="43">
        <v>24893.09445872483</v>
      </c>
      <c r="G20" s="43">
        <v>2041.4456948504048</v>
      </c>
      <c r="H20" s="43">
        <f t="shared" si="0"/>
        <v>22851.648763874426</v>
      </c>
      <c r="I20" s="30">
        <f t="shared" si="4"/>
        <v>5699.418253984277</v>
      </c>
      <c r="J20" s="32">
        <f t="shared" si="1"/>
        <v>24.940949832006602</v>
      </c>
      <c r="K20" s="36">
        <f t="shared" si="5"/>
        <v>1129.0885012093931</v>
      </c>
      <c r="L20" s="30">
        <f t="shared" si="6"/>
        <v>3657.972559133872</v>
      </c>
      <c r="M20" s="34">
        <f t="shared" si="2"/>
        <v>14.694728151211356</v>
      </c>
      <c r="N20" s="38">
        <f t="shared" si="7"/>
        <v>1168.6631132613875</v>
      </c>
    </row>
    <row r="21" spans="1:14" s="4" customFormat="1" ht="12.75">
      <c r="A21" s="17">
        <f t="shared" si="3"/>
        <v>2020</v>
      </c>
      <c r="B21" s="17" t="s">
        <v>16</v>
      </c>
      <c r="C21" s="43">
        <v>27994.626565283546</v>
      </c>
      <c r="D21" s="91">
        <f aca="true" t="shared" si="9" ref="D21:D31">D20+C40+E40+K40</f>
        <v>0</v>
      </c>
      <c r="E21" s="43">
        <f t="shared" si="8"/>
        <v>27994.626565283546</v>
      </c>
      <c r="F21" s="43">
        <v>25205.928535800045</v>
      </c>
      <c r="G21" s="43">
        <v>2088.462209365558</v>
      </c>
      <c r="H21" s="43">
        <f t="shared" si="0"/>
        <v>23117.466326434485</v>
      </c>
      <c r="I21" s="30">
        <f t="shared" si="4"/>
        <v>4877.160238849061</v>
      </c>
      <c r="J21" s="32">
        <f t="shared" si="1"/>
        <v>21.09729574158436</v>
      </c>
      <c r="K21" s="36">
        <f t="shared" si="5"/>
        <v>253.66697356216537</v>
      </c>
      <c r="L21" s="30">
        <f t="shared" si="6"/>
        <v>2788.698029483501</v>
      </c>
      <c r="M21" s="34">
        <f t="shared" si="2"/>
        <v>11.06365919241065</v>
      </c>
      <c r="N21" s="38">
        <f t="shared" si="7"/>
        <v>268.10517590349264</v>
      </c>
    </row>
    <row r="22" spans="1:14" s="4" customFormat="1" ht="12.75">
      <c r="A22" s="17">
        <f t="shared" si="3"/>
        <v>2021</v>
      </c>
      <c r="B22" s="17" t="s">
        <v>14</v>
      </c>
      <c r="C22" s="43">
        <v>28141.719762651013</v>
      </c>
      <c r="D22" s="91">
        <f t="shared" si="9"/>
        <v>0</v>
      </c>
      <c r="E22" s="43">
        <f t="shared" si="8"/>
        <v>28141.719762651013</v>
      </c>
      <c r="F22" s="43">
        <v>25316.416253234296</v>
      </c>
      <c r="G22" s="43">
        <v>2136.2343409014484</v>
      </c>
      <c r="H22" s="43">
        <f t="shared" si="0"/>
        <v>23180.181912332846</v>
      </c>
      <c r="I22" s="30">
        <f t="shared" si="4"/>
        <v>4961.537850318167</v>
      </c>
      <c r="J22" s="32">
        <f t="shared" si="1"/>
        <v>21.40422309489477</v>
      </c>
      <c r="K22" s="36">
        <f t="shared" si="5"/>
        <v>325.50146785159814</v>
      </c>
      <c r="L22" s="30">
        <f t="shared" si="6"/>
        <v>2825.303509416717</v>
      </c>
      <c r="M22" s="34">
        <f t="shared" si="2"/>
        <v>11.159966249392706</v>
      </c>
      <c r="N22" s="38">
        <f t="shared" si="7"/>
        <v>293.66188409328606</v>
      </c>
    </row>
    <row r="23" spans="1:14" s="4" customFormat="1" ht="12.75">
      <c r="A23" s="17">
        <f t="shared" si="3"/>
        <v>2022</v>
      </c>
      <c r="B23" s="17" t="s">
        <v>65</v>
      </c>
      <c r="C23" s="43">
        <v>28271.816006875466</v>
      </c>
      <c r="D23" s="91">
        <f t="shared" si="9"/>
        <v>0</v>
      </c>
      <c r="E23" s="43">
        <f t="shared" si="8"/>
        <v>28271.816006875466</v>
      </c>
      <c r="F23" s="43">
        <v>25540.189209268094</v>
      </c>
      <c r="G23" s="43">
        <v>2184.7465153952003</v>
      </c>
      <c r="H23" s="43">
        <f t="shared" si="0"/>
        <v>23355.442693872894</v>
      </c>
      <c r="I23" s="30">
        <f t="shared" si="4"/>
        <v>4916.373313002572</v>
      </c>
      <c r="J23" s="32">
        <f t="shared" si="1"/>
        <v>21.0502253262463</v>
      </c>
      <c r="K23" s="36">
        <f t="shared" si="5"/>
        <v>245.2847742279955</v>
      </c>
      <c r="L23" s="30">
        <f t="shared" si="6"/>
        <v>2731.6267976073723</v>
      </c>
      <c r="M23" s="34">
        <f t="shared" si="2"/>
        <v>10.695405485156359</v>
      </c>
      <c r="N23" s="38">
        <f t="shared" si="7"/>
        <v>177.60787668056219</v>
      </c>
    </row>
    <row r="24" spans="1:14" s="4" customFormat="1" ht="12.75">
      <c r="A24" s="17">
        <f t="shared" si="3"/>
        <v>2023</v>
      </c>
      <c r="B24" s="17" t="s">
        <v>64</v>
      </c>
      <c r="C24" s="43">
        <v>28898</v>
      </c>
      <c r="D24" s="91">
        <f t="shared" si="9"/>
        <v>0</v>
      </c>
      <c r="E24" s="43">
        <f t="shared" si="8"/>
        <v>28898</v>
      </c>
      <c r="F24" s="43">
        <v>25832.903255827194</v>
      </c>
      <c r="G24" s="43">
        <v>2234.0294854316176</v>
      </c>
      <c r="H24" s="43">
        <f t="shared" si="0"/>
        <v>23598.873770395578</v>
      </c>
      <c r="I24" s="30">
        <f t="shared" si="4"/>
        <v>5299.126229604422</v>
      </c>
      <c r="J24" s="32">
        <f t="shared" si="1"/>
        <v>22.454996289916572</v>
      </c>
      <c r="K24" s="36">
        <f t="shared" si="5"/>
        <v>579.3514755253091</v>
      </c>
      <c r="L24" s="30">
        <f t="shared" si="6"/>
        <v>3065.096744172806</v>
      </c>
      <c r="M24" s="34">
        <f t="shared" si="2"/>
        <v>11.865088154508552</v>
      </c>
      <c r="N24" s="38">
        <f t="shared" si="7"/>
        <v>481.8064185900839</v>
      </c>
    </row>
    <row r="25" spans="1:14" s="4" customFormat="1" ht="13.5" thickBot="1">
      <c r="A25" s="49">
        <f t="shared" si="3"/>
        <v>2024</v>
      </c>
      <c r="B25" s="49"/>
      <c r="C25" s="50">
        <v>28895</v>
      </c>
      <c r="D25" s="95">
        <f t="shared" si="9"/>
        <v>0</v>
      </c>
      <c r="E25" s="50">
        <f t="shared" si="8"/>
        <v>28895</v>
      </c>
      <c r="F25" s="50">
        <v>26180.278517781553</v>
      </c>
      <c r="G25" s="50">
        <v>2284.18220399574</v>
      </c>
      <c r="H25" s="50">
        <f t="shared" si="0"/>
        <v>23896.096313785813</v>
      </c>
      <c r="I25" s="51">
        <f t="shared" si="4"/>
        <v>4998.9036862141875</v>
      </c>
      <c r="J25" s="52">
        <f t="shared" si="1"/>
        <v>20.91933184639153</v>
      </c>
      <c r="K25" s="53">
        <f t="shared" si="5"/>
        <v>219.68442345702715</v>
      </c>
      <c r="L25" s="51">
        <f t="shared" si="6"/>
        <v>2714.721482218447</v>
      </c>
      <c r="M25" s="54">
        <f t="shared" si="2"/>
        <v>10.369337669095529</v>
      </c>
      <c r="N25" s="55">
        <f t="shared" si="7"/>
        <v>96.69363044028796</v>
      </c>
    </row>
    <row r="26" spans="1:14" s="4" customFormat="1" ht="12.75">
      <c r="A26" s="17">
        <f t="shared" si="3"/>
        <v>2025</v>
      </c>
      <c r="B26" s="17"/>
      <c r="C26" s="43">
        <v>28892</v>
      </c>
      <c r="D26" s="91">
        <f t="shared" si="9"/>
        <v>0</v>
      </c>
      <c r="E26" s="43">
        <f t="shared" si="8"/>
        <v>28892</v>
      </c>
      <c r="F26" s="43">
        <v>26572.4560211349</v>
      </c>
      <c r="G26" s="43">
        <v>2334</v>
      </c>
      <c r="H26" s="43">
        <f t="shared" si="0"/>
        <v>24238.4560211349</v>
      </c>
      <c r="I26" s="30">
        <f t="shared" si="4"/>
        <v>4653.543978865098</v>
      </c>
      <c r="J26" s="32">
        <f t="shared" si="1"/>
        <v>19.199011582286456</v>
      </c>
      <c r="K26" s="36">
        <f t="shared" si="5"/>
        <v>-194.14722536188128</v>
      </c>
      <c r="L26" s="30">
        <f t="shared" si="6"/>
        <v>2319.5439788650983</v>
      </c>
      <c r="M26" s="34">
        <f t="shared" si="2"/>
        <v>8.729129053860154</v>
      </c>
      <c r="N26" s="38">
        <f t="shared" si="7"/>
        <v>-337.70162324839475</v>
      </c>
    </row>
    <row r="27" spans="1:14" s="4" customFormat="1" ht="12.75">
      <c r="A27" s="17">
        <f t="shared" si="3"/>
        <v>2026</v>
      </c>
      <c r="B27" s="17"/>
      <c r="C27" s="43">
        <v>28889</v>
      </c>
      <c r="D27" s="91">
        <f t="shared" si="9"/>
        <v>0</v>
      </c>
      <c r="E27" s="43">
        <f t="shared" si="8"/>
        <v>28889</v>
      </c>
      <c r="F27" s="43">
        <v>27067.6000853683</v>
      </c>
      <c r="G27" s="43">
        <v>2384</v>
      </c>
      <c r="H27" s="43">
        <f>F27-G27</f>
        <v>24683.6000853683</v>
      </c>
      <c r="I27" s="30">
        <f>E27-H27</f>
        <v>4205.3999146317</v>
      </c>
      <c r="J27" s="32">
        <f>I27/H27*100</f>
        <v>17.03722269072304</v>
      </c>
      <c r="K27" s="36">
        <f t="shared" si="5"/>
        <v>-731.3201024419577</v>
      </c>
      <c r="L27" s="30">
        <f t="shared" si="6"/>
        <v>1821.3999146317</v>
      </c>
      <c r="M27" s="34">
        <f t="shared" si="2"/>
        <v>6.729077971032528</v>
      </c>
      <c r="N27" s="38">
        <f t="shared" si="7"/>
        <v>-885.3600939051321</v>
      </c>
    </row>
    <row r="28" spans="1:14" s="4" customFormat="1" ht="12.75">
      <c r="A28" s="17">
        <f t="shared" si="3"/>
        <v>2027</v>
      </c>
      <c r="B28" s="17"/>
      <c r="C28" s="43">
        <v>28883</v>
      </c>
      <c r="D28" s="91">
        <f t="shared" si="9"/>
        <v>0</v>
      </c>
      <c r="E28" s="43">
        <f t="shared" si="8"/>
        <v>28883</v>
      </c>
      <c r="F28" s="43">
        <v>27665.21915802903</v>
      </c>
      <c r="G28" s="43">
        <v>2434</v>
      </c>
      <c r="H28" s="43">
        <f>F28-G28</f>
        <v>25231.21915802903</v>
      </c>
      <c r="I28" s="30">
        <f>E28-H28</f>
        <v>3651.780841970969</v>
      </c>
      <c r="J28" s="32">
        <f>I28/H28*100</f>
        <v>14.473263535539092</v>
      </c>
      <c r="K28" s="36">
        <f t="shared" si="5"/>
        <v>-1394.4629896348342</v>
      </c>
      <c r="L28" s="30">
        <f t="shared" si="6"/>
        <v>1217.780841970969</v>
      </c>
      <c r="M28" s="34">
        <f t="shared" si="2"/>
        <v>4.401847803969206</v>
      </c>
      <c r="N28" s="38">
        <f t="shared" si="7"/>
        <v>-1548.7410738319377</v>
      </c>
    </row>
    <row r="29" spans="1:14" s="4" customFormat="1" ht="12.75">
      <c r="A29" s="17">
        <f t="shared" si="3"/>
        <v>2028</v>
      </c>
      <c r="B29" s="17"/>
      <c r="C29" s="43">
        <v>28880</v>
      </c>
      <c r="D29" s="91">
        <f t="shared" si="9"/>
        <v>0</v>
      </c>
      <c r="E29" s="43">
        <f t="shared" si="8"/>
        <v>28880</v>
      </c>
      <c r="F29" s="43">
        <v>28224.724306714037</v>
      </c>
      <c r="G29" s="43">
        <v>2484</v>
      </c>
      <c r="H29" s="43">
        <f>F29-G29</f>
        <v>25740.724306714037</v>
      </c>
      <c r="I29" s="30">
        <f>E29-H29</f>
        <v>3139.275693285963</v>
      </c>
      <c r="J29" s="32">
        <f>I29/H29*100</f>
        <v>12.19575508396683</v>
      </c>
      <c r="K29" s="36">
        <f t="shared" si="5"/>
        <v>-2008.8691680568445</v>
      </c>
      <c r="L29" s="30">
        <f t="shared" si="6"/>
        <v>655.2756932859629</v>
      </c>
      <c r="M29" s="34">
        <f t="shared" si="2"/>
        <v>2.3216371793934134</v>
      </c>
      <c r="N29" s="38">
        <f t="shared" si="7"/>
        <v>-2167.1967373854422</v>
      </c>
    </row>
    <row r="30" spans="1:14" s="4" customFormat="1" ht="12.75">
      <c r="A30" s="17">
        <f t="shared" si="3"/>
        <v>2029</v>
      </c>
      <c r="B30" s="13"/>
      <c r="C30" s="43">
        <v>28878</v>
      </c>
      <c r="D30" s="91">
        <f t="shared" si="9"/>
        <v>0</v>
      </c>
      <c r="E30" s="43">
        <f t="shared" si="8"/>
        <v>28878</v>
      </c>
      <c r="F30" s="43">
        <v>28804.814369193406</v>
      </c>
      <c r="G30" s="43">
        <v>2534</v>
      </c>
      <c r="H30" s="43">
        <f>F30-G30</f>
        <v>26270.814369193406</v>
      </c>
      <c r="I30" s="30">
        <f>E30-H30</f>
        <v>2607.1856308065944</v>
      </c>
      <c r="J30" s="32">
        <f>I30/H30*100</f>
        <v>9.924266504139753</v>
      </c>
      <c r="K30" s="36">
        <f t="shared" si="5"/>
        <v>-2646.9772430320845</v>
      </c>
      <c r="L30" s="30">
        <f t="shared" si="6"/>
        <v>73.18563080659442</v>
      </c>
      <c r="M30" s="34">
        <f t="shared" si="2"/>
        <v>0.2540743011517757</v>
      </c>
      <c r="N30" s="38">
        <f t="shared" si="7"/>
        <v>-2807.29580611275</v>
      </c>
    </row>
    <row r="31" spans="1:14" s="4" customFormat="1" ht="12.75">
      <c r="A31" s="18">
        <f t="shared" si="3"/>
        <v>2030</v>
      </c>
      <c r="B31" s="18"/>
      <c r="C31" s="44">
        <v>28875</v>
      </c>
      <c r="D31" s="92">
        <f t="shared" si="9"/>
        <v>0</v>
      </c>
      <c r="E31" s="44">
        <f>C31+D31</f>
        <v>28875</v>
      </c>
      <c r="F31" s="44">
        <v>29397.66178369829</v>
      </c>
      <c r="G31" s="44">
        <v>2584</v>
      </c>
      <c r="H31" s="44">
        <f>F31-G31</f>
        <v>26813.66178369829</v>
      </c>
      <c r="I31" s="31">
        <f>E31-H31</f>
        <v>2061.3382163017086</v>
      </c>
      <c r="J31" s="33">
        <f>I31/H31*100</f>
        <v>7.687641594535684</v>
      </c>
      <c r="K31" s="37">
        <f t="shared" si="5"/>
        <v>-3301.3941404379475</v>
      </c>
      <c r="L31" s="31">
        <f t="shared" si="6"/>
        <v>-522.6617836982914</v>
      </c>
      <c r="M31" s="35">
        <f t="shared" si="2"/>
        <v>-1.7779025677073401</v>
      </c>
      <c r="N31" s="39">
        <f t="shared" si="7"/>
        <v>-3462.4279620681227</v>
      </c>
    </row>
    <row r="32" spans="1:4" ht="12" customHeight="1">
      <c r="A32" s="5"/>
      <c r="B32" s="5" t="s">
        <v>66</v>
      </c>
      <c r="C32" s="5"/>
      <c r="D32" s="5"/>
    </row>
    <row r="33" spans="1:11" ht="12.75">
      <c r="A33" s="6"/>
      <c r="B33" s="6"/>
      <c r="C33" s="6"/>
      <c r="D33" s="6"/>
      <c r="E33" s="7"/>
      <c r="F33" s="7"/>
      <c r="G33" s="7"/>
      <c r="H33" s="7"/>
      <c r="I33" s="7"/>
      <c r="J33" s="7"/>
      <c r="K33" s="7"/>
    </row>
    <row r="34" spans="1:11" ht="12.75">
      <c r="A34" s="6"/>
      <c r="B34" s="6"/>
      <c r="C34" s="6"/>
      <c r="D34" s="6"/>
      <c r="E34" s="4"/>
      <c r="F34" s="4"/>
      <c r="G34" s="4"/>
      <c r="H34" s="4"/>
      <c r="I34" s="4"/>
      <c r="J34" s="4"/>
      <c r="K34" s="4"/>
    </row>
    <row r="35" spans="1:4" ht="12.75">
      <c r="A35" s="2"/>
      <c r="B35" s="2"/>
      <c r="C35" s="2"/>
      <c r="D35" s="2"/>
    </row>
    <row r="36" spans="1:11" ht="15.75">
      <c r="A36" s="93"/>
      <c r="B36" s="108"/>
      <c r="C36" s="109"/>
      <c r="D36" s="109"/>
      <c r="E36" s="110"/>
      <c r="H36" s="71"/>
      <c r="I36" s="71"/>
      <c r="J36" s="72" t="s">
        <v>40</v>
      </c>
      <c r="K36" s="71"/>
    </row>
    <row r="37" spans="1:11" ht="15">
      <c r="A37" s="93"/>
      <c r="B37" s="56"/>
      <c r="C37" s="57" t="s">
        <v>33</v>
      </c>
      <c r="D37" s="57" t="s">
        <v>34</v>
      </c>
      <c r="E37" s="58"/>
      <c r="H37" s="98" t="s">
        <v>41</v>
      </c>
      <c r="I37" s="73" t="s">
        <v>42</v>
      </c>
      <c r="J37" s="73" t="s">
        <v>43</v>
      </c>
      <c r="K37" s="73" t="s">
        <v>44</v>
      </c>
    </row>
    <row r="38" spans="1:11" ht="15">
      <c r="A38" s="93"/>
      <c r="B38" s="59"/>
      <c r="C38" s="60" t="s">
        <v>35</v>
      </c>
      <c r="D38" s="60" t="s">
        <v>35</v>
      </c>
      <c r="E38" s="61" t="s">
        <v>36</v>
      </c>
      <c r="H38" s="98" t="s">
        <v>45</v>
      </c>
      <c r="I38" s="73" t="s">
        <v>8</v>
      </c>
      <c r="J38" s="73" t="s">
        <v>46</v>
      </c>
      <c r="K38" s="73" t="s">
        <v>47</v>
      </c>
    </row>
    <row r="39" spans="1:5" ht="15">
      <c r="A39" s="9"/>
      <c r="B39" s="62" t="s">
        <v>5</v>
      </c>
      <c r="C39" s="63" t="s">
        <v>8</v>
      </c>
      <c r="D39" s="63" t="s">
        <v>8</v>
      </c>
      <c r="E39" s="61" t="s">
        <v>8</v>
      </c>
    </row>
    <row r="40" spans="1:11" ht="12.75">
      <c r="A40" s="9"/>
      <c r="B40" s="70">
        <v>2020</v>
      </c>
      <c r="C40" s="64">
        <v>0</v>
      </c>
      <c r="D40" s="64">
        <v>0</v>
      </c>
      <c r="E40" s="64">
        <v>0</v>
      </c>
      <c r="H40" s="79">
        <v>1700</v>
      </c>
      <c r="I40" s="75">
        <f>H40+D40</f>
        <v>1700</v>
      </c>
      <c r="J40" s="78">
        <v>0.41</v>
      </c>
      <c r="K40" s="76">
        <f>D40*J40</f>
        <v>0</v>
      </c>
    </row>
    <row r="41" spans="1:11" ht="12.75">
      <c r="A41" s="9"/>
      <c r="B41" s="70">
        <v>2021</v>
      </c>
      <c r="C41" s="64">
        <v>0</v>
      </c>
      <c r="D41" s="64">
        <v>0</v>
      </c>
      <c r="E41" s="64">
        <v>0</v>
      </c>
      <c r="H41" s="74"/>
      <c r="I41" s="75">
        <f>I40+D41</f>
        <v>1700</v>
      </c>
      <c r="J41" s="78">
        <v>0.41</v>
      </c>
      <c r="K41" s="76">
        <f aca="true" t="shared" si="10" ref="K41:K50">D41*J41</f>
        <v>0</v>
      </c>
    </row>
    <row r="42" spans="1:11" ht="12.75">
      <c r="A42" s="9"/>
      <c r="B42" s="70">
        <v>2022</v>
      </c>
      <c r="C42" s="64">
        <v>0</v>
      </c>
      <c r="D42" s="64">
        <v>0</v>
      </c>
      <c r="E42" s="64">
        <v>0</v>
      </c>
      <c r="H42" s="74"/>
      <c r="I42" s="75">
        <f aca="true" t="shared" si="11" ref="I42:I50">I41+D42</f>
        <v>1700</v>
      </c>
      <c r="J42" s="78">
        <v>0.41</v>
      </c>
      <c r="K42" s="76">
        <f t="shared" si="10"/>
        <v>0</v>
      </c>
    </row>
    <row r="43" spans="1:11" ht="12.75">
      <c r="A43" s="9"/>
      <c r="B43" s="70">
        <v>2023</v>
      </c>
      <c r="C43" s="64">
        <v>0</v>
      </c>
      <c r="D43" s="64">
        <v>0</v>
      </c>
      <c r="E43" s="64">
        <v>0</v>
      </c>
      <c r="H43" s="74"/>
      <c r="I43" s="75">
        <f t="shared" si="11"/>
        <v>1700</v>
      </c>
      <c r="J43" s="78">
        <v>0.41</v>
      </c>
      <c r="K43" s="76">
        <f t="shared" si="10"/>
        <v>0</v>
      </c>
    </row>
    <row r="44" spans="2:11" ht="12.75">
      <c r="B44" s="70">
        <v>2024</v>
      </c>
      <c r="C44" s="64">
        <v>0</v>
      </c>
      <c r="D44" s="64">
        <v>0</v>
      </c>
      <c r="E44" s="64">
        <v>0</v>
      </c>
      <c r="H44" s="74"/>
      <c r="I44" s="75">
        <f t="shared" si="11"/>
        <v>1700</v>
      </c>
      <c r="J44" s="78">
        <v>0.41</v>
      </c>
      <c r="K44" s="76">
        <f t="shared" si="10"/>
        <v>0</v>
      </c>
    </row>
    <row r="45" spans="2:11" ht="12.75">
      <c r="B45" s="70">
        <v>2025</v>
      </c>
      <c r="C45" s="64">
        <v>0</v>
      </c>
      <c r="D45" s="64">
        <v>0</v>
      </c>
      <c r="E45" s="64">
        <v>0</v>
      </c>
      <c r="H45" s="74"/>
      <c r="I45" s="75">
        <f t="shared" si="11"/>
        <v>1700</v>
      </c>
      <c r="J45" s="78">
        <v>0.41</v>
      </c>
      <c r="K45" s="76">
        <f t="shared" si="10"/>
        <v>0</v>
      </c>
    </row>
    <row r="46" spans="2:11" ht="12.75">
      <c r="B46" s="70">
        <v>2026</v>
      </c>
      <c r="C46" s="64">
        <v>0</v>
      </c>
      <c r="D46" s="64">
        <v>0</v>
      </c>
      <c r="E46" s="64">
        <v>0</v>
      </c>
      <c r="H46" s="74"/>
      <c r="I46" s="75">
        <f t="shared" si="11"/>
        <v>1700</v>
      </c>
      <c r="J46" s="78">
        <v>0.41</v>
      </c>
      <c r="K46" s="76">
        <f t="shared" si="10"/>
        <v>0</v>
      </c>
    </row>
    <row r="47" spans="2:11" ht="12.75">
      <c r="B47" s="70">
        <v>2027</v>
      </c>
      <c r="C47" s="64">
        <v>0</v>
      </c>
      <c r="D47" s="64">
        <v>0</v>
      </c>
      <c r="E47" s="64">
        <v>0</v>
      </c>
      <c r="H47" s="74"/>
      <c r="I47" s="75">
        <f t="shared" si="11"/>
        <v>1700</v>
      </c>
      <c r="J47" s="78">
        <v>0.41</v>
      </c>
      <c r="K47" s="76">
        <f t="shared" si="10"/>
        <v>0</v>
      </c>
    </row>
    <row r="48" spans="2:11" ht="12.75">
      <c r="B48" s="70">
        <v>2028</v>
      </c>
      <c r="C48" s="64">
        <v>0</v>
      </c>
      <c r="D48" s="64">
        <v>0</v>
      </c>
      <c r="E48" s="64">
        <v>0</v>
      </c>
      <c r="H48" s="74"/>
      <c r="I48" s="75">
        <f t="shared" si="11"/>
        <v>1700</v>
      </c>
      <c r="J48" s="78">
        <v>0.41</v>
      </c>
      <c r="K48" s="76">
        <f t="shared" si="10"/>
        <v>0</v>
      </c>
    </row>
    <row r="49" spans="2:11" ht="12.75">
      <c r="B49" s="70">
        <v>2029</v>
      </c>
      <c r="C49" s="64">
        <v>0</v>
      </c>
      <c r="D49" s="64">
        <v>0</v>
      </c>
      <c r="E49" s="64">
        <v>0</v>
      </c>
      <c r="H49" s="74"/>
      <c r="I49" s="75">
        <f t="shared" si="11"/>
        <v>1700</v>
      </c>
      <c r="J49" s="78">
        <v>0.41</v>
      </c>
      <c r="K49" s="76">
        <f t="shared" si="10"/>
        <v>0</v>
      </c>
    </row>
    <row r="50" spans="2:11" ht="12.75">
      <c r="B50" s="70">
        <v>2030</v>
      </c>
      <c r="C50" s="64">
        <v>0</v>
      </c>
      <c r="D50" s="64">
        <v>0</v>
      </c>
      <c r="E50" s="64">
        <v>0</v>
      </c>
      <c r="H50" s="74"/>
      <c r="I50" s="75">
        <f t="shared" si="11"/>
        <v>1700</v>
      </c>
      <c r="J50" s="78">
        <v>0.41</v>
      </c>
      <c r="K50" s="76">
        <f t="shared" si="10"/>
        <v>0</v>
      </c>
    </row>
    <row r="51" spans="2:11" ht="28.5" customHeight="1">
      <c r="B51" s="65" t="s">
        <v>37</v>
      </c>
      <c r="C51" s="66">
        <f>SUM(C40:C50)</f>
        <v>0</v>
      </c>
      <c r="D51" s="66">
        <f>SUM(D40:D50)</f>
        <v>0</v>
      </c>
      <c r="E51" s="66">
        <f>SUM(E40:E50)</f>
        <v>0</v>
      </c>
      <c r="H51" s="74"/>
      <c r="I51" s="74"/>
      <c r="J51" s="74"/>
      <c r="K51" s="77">
        <f>SUM(K40:K50)</f>
        <v>0</v>
      </c>
    </row>
    <row r="52" spans="2:5" ht="15">
      <c r="B52" s="67" t="s">
        <v>38</v>
      </c>
      <c r="C52" s="66">
        <f>C51</f>
        <v>0</v>
      </c>
      <c r="D52" s="68">
        <f>K51</f>
        <v>0</v>
      </c>
      <c r="E52" s="66">
        <f>E51</f>
        <v>0</v>
      </c>
    </row>
    <row r="53" spans="2:5" ht="30">
      <c r="B53" s="67" t="s">
        <v>39</v>
      </c>
      <c r="C53" s="66">
        <f>SUM(C52:E52)</f>
        <v>0</v>
      </c>
      <c r="D53" s="69"/>
      <c r="E53" s="69"/>
    </row>
    <row r="56" spans="2:7" ht="15">
      <c r="B56" s="80" t="s">
        <v>48</v>
      </c>
      <c r="C56" s="81"/>
      <c r="D56" s="81"/>
      <c r="E56" s="81"/>
      <c r="F56" s="81"/>
      <c r="G56" s="82"/>
    </row>
    <row r="57" spans="2:7" ht="12.75">
      <c r="B57" s="83"/>
      <c r="C57" s="84"/>
      <c r="D57" s="84"/>
      <c r="E57" s="84"/>
      <c r="F57" s="84"/>
      <c r="G57" s="85"/>
    </row>
    <row r="58" spans="2:7" ht="12.75">
      <c r="B58" s="83" t="s">
        <v>49</v>
      </c>
      <c r="C58" s="84"/>
      <c r="D58" s="86">
        <v>0.52</v>
      </c>
      <c r="E58" s="84"/>
      <c r="F58" s="84"/>
      <c r="G58" s="85"/>
    </row>
    <row r="59" spans="2:7" ht="12.75">
      <c r="B59" s="83" t="s">
        <v>50</v>
      </c>
      <c r="C59" s="84"/>
      <c r="D59" s="86">
        <v>0.48</v>
      </c>
      <c r="E59" s="84"/>
      <c r="F59" s="84"/>
      <c r="G59" s="85"/>
    </row>
    <row r="60" spans="2:7" ht="12.75">
      <c r="B60" s="83" t="s">
        <v>51</v>
      </c>
      <c r="C60" s="84"/>
      <c r="D60" s="86">
        <v>0.44</v>
      </c>
      <c r="E60" s="84"/>
      <c r="F60" s="84"/>
      <c r="G60" s="85"/>
    </row>
    <row r="61" spans="2:7" ht="12.75">
      <c r="B61" s="83" t="s">
        <v>52</v>
      </c>
      <c r="C61" s="84"/>
      <c r="D61" s="86">
        <v>0.41</v>
      </c>
      <c r="E61" s="84"/>
      <c r="F61" s="84"/>
      <c r="G61" s="85"/>
    </row>
    <row r="62" spans="2:7" ht="12.75">
      <c r="B62" s="83" t="s">
        <v>53</v>
      </c>
      <c r="C62" s="84"/>
      <c r="D62" s="86">
        <v>0.37</v>
      </c>
      <c r="E62" s="84"/>
      <c r="F62" s="84"/>
      <c r="G62" s="85"/>
    </row>
    <row r="63" spans="2:7" ht="12.75">
      <c r="B63" s="87" t="s">
        <v>54</v>
      </c>
      <c r="C63" s="88"/>
      <c r="D63" s="89">
        <v>0.33</v>
      </c>
      <c r="E63" s="88"/>
      <c r="F63" s="88"/>
      <c r="G63" s="90"/>
    </row>
  </sheetData>
  <sheetProtection/>
  <mergeCells count="11">
    <mergeCell ref="A6:N6"/>
    <mergeCell ref="A7:N7"/>
    <mergeCell ref="I11:K11"/>
    <mergeCell ref="L11:N11"/>
    <mergeCell ref="I12:J12"/>
    <mergeCell ref="L12:M12"/>
    <mergeCell ref="I13:J13"/>
    <mergeCell ref="L13:M13"/>
    <mergeCell ref="I14:J14"/>
    <mergeCell ref="L14:M14"/>
    <mergeCell ref="B36:E36"/>
  </mergeCells>
  <conditionalFormatting sqref="N20:N31">
    <cfRule type="cellIs" priority="4" dxfId="18" operator="lessThan" stopIfTrue="1">
      <formula>0</formula>
    </cfRule>
  </conditionalFormatting>
  <conditionalFormatting sqref="C40:E50">
    <cfRule type="cellIs" priority="3" dxfId="0" operator="greaterThan" stopIfTrue="1">
      <formula>0</formula>
    </cfRule>
  </conditionalFormatting>
  <conditionalFormatting sqref="K40:K50">
    <cfRule type="cellIs" priority="1" dxfId="19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 transitionEvaluation="1" transitionEntry="1">
    <tabColor theme="3" tint="0.7999799847602844"/>
  </sheetPr>
  <dimension ref="A3:N62"/>
  <sheetViews>
    <sheetView showGridLines="0" zoomScalePageLayoutView="0" workbookViewId="0" topLeftCell="A1">
      <selection activeCell="A1" sqref="A1:IV2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3" spans="2:14" ht="12.75">
      <c r="B3" s="42" t="s">
        <v>29</v>
      </c>
      <c r="C3" s="42"/>
      <c r="D3" s="42"/>
      <c r="N3" s="41" t="s">
        <v>31</v>
      </c>
    </row>
    <row r="4" spans="2:14" ht="13.5">
      <c r="B4" s="96" t="s">
        <v>55</v>
      </c>
      <c r="C4" s="94"/>
      <c r="D4" s="94"/>
      <c r="N4" s="1" t="s">
        <v>30</v>
      </c>
    </row>
    <row r="5" spans="2:14" ht="12.75">
      <c r="B5" s="97" t="str">
        <f>B35</f>
        <v>Plan 1: Battery Intensive (Large Batteries)</v>
      </c>
      <c r="C5" s="94"/>
      <c r="D5" s="94"/>
      <c r="N5" s="1"/>
    </row>
    <row r="6" spans="1:14" ht="15.75">
      <c r="A6" s="111" t="s">
        <v>26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15.75">
      <c r="A7" s="111" t="s">
        <v>27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4" ht="12.75">
      <c r="A8" s="2"/>
      <c r="B8" s="2"/>
      <c r="C8" s="2"/>
      <c r="D8" s="2"/>
    </row>
    <row r="9" spans="1:14" ht="12.75">
      <c r="A9" s="3">
        <v>-1</v>
      </c>
      <c r="B9" s="3">
        <v>-2</v>
      </c>
      <c r="C9" s="3">
        <v>-3</v>
      </c>
      <c r="D9" s="3">
        <v>-4</v>
      </c>
      <c r="E9" s="3">
        <v>-5</v>
      </c>
      <c r="F9" s="3">
        <v>-6</v>
      </c>
      <c r="G9" s="3">
        <v>-7</v>
      </c>
      <c r="H9" s="3">
        <v>-8</v>
      </c>
      <c r="I9" s="3">
        <v>-9</v>
      </c>
      <c r="J9" s="3">
        <v>-10</v>
      </c>
      <c r="K9" s="3">
        <v>-11</v>
      </c>
      <c r="L9" s="3">
        <v>-12</v>
      </c>
      <c r="M9" s="3">
        <v>-13</v>
      </c>
      <c r="N9" s="40">
        <v>-14</v>
      </c>
    </row>
    <row r="10" spans="1:14" ht="12.75" hidden="1">
      <c r="A10" s="3">
        <v>-1</v>
      </c>
      <c r="B10" s="3">
        <v>-2</v>
      </c>
      <c r="C10" s="3"/>
      <c r="D10" s="3"/>
      <c r="E10" s="3">
        <v>-3</v>
      </c>
      <c r="F10" s="3">
        <v>-4</v>
      </c>
      <c r="G10" s="3">
        <v>-5</v>
      </c>
      <c r="H10" s="3">
        <v>-6</v>
      </c>
      <c r="I10" s="3">
        <v>-7</v>
      </c>
      <c r="J10" s="3">
        <v>-8</v>
      </c>
      <c r="K10" s="3">
        <v>-9</v>
      </c>
      <c r="L10" s="3">
        <v>-10</v>
      </c>
      <c r="M10" s="3">
        <v>-11</v>
      </c>
      <c r="N10" s="40">
        <v>-12</v>
      </c>
    </row>
    <row r="11" spans="1:14" ht="12.75">
      <c r="A11" s="19"/>
      <c r="B11" s="16"/>
      <c r="C11" s="12"/>
      <c r="D11" s="45"/>
      <c r="E11" s="12"/>
      <c r="F11" s="15"/>
      <c r="G11" s="12"/>
      <c r="H11" s="12"/>
      <c r="I11" s="112" t="s">
        <v>18</v>
      </c>
      <c r="J11" s="113"/>
      <c r="K11" s="114"/>
      <c r="L11" s="115" t="s">
        <v>24</v>
      </c>
      <c r="M11" s="116"/>
      <c r="N11" s="117"/>
    </row>
    <row r="12" spans="1:14" ht="12.75">
      <c r="A12" s="14"/>
      <c r="B12" s="14"/>
      <c r="C12" s="13" t="s">
        <v>7</v>
      </c>
      <c r="D12" s="46" t="s">
        <v>28</v>
      </c>
      <c r="E12" s="13" t="s">
        <v>7</v>
      </c>
      <c r="F12" s="14"/>
      <c r="G12" s="14"/>
      <c r="H12" s="13" t="s">
        <v>10</v>
      </c>
      <c r="I12" s="102"/>
      <c r="J12" s="103"/>
      <c r="K12" s="8" t="s">
        <v>19</v>
      </c>
      <c r="L12" s="102"/>
      <c r="M12" s="103"/>
      <c r="N12" s="8" t="s">
        <v>19</v>
      </c>
    </row>
    <row r="13" spans="1:14" ht="12.75">
      <c r="A13" s="14"/>
      <c r="B13" s="14"/>
      <c r="C13" s="14" t="s">
        <v>10</v>
      </c>
      <c r="D13" s="46" t="s">
        <v>10</v>
      </c>
      <c r="E13" s="14" t="s">
        <v>10</v>
      </c>
      <c r="F13" s="13" t="s">
        <v>7</v>
      </c>
      <c r="G13" s="14"/>
      <c r="H13" s="13" t="s">
        <v>0</v>
      </c>
      <c r="I13" s="104"/>
      <c r="J13" s="105"/>
      <c r="K13" s="9" t="s">
        <v>20</v>
      </c>
      <c r="L13" s="104"/>
      <c r="M13" s="105"/>
      <c r="N13" s="9" t="s">
        <v>20</v>
      </c>
    </row>
    <row r="14" spans="1:14" ht="15.75" customHeight="1">
      <c r="A14" s="14"/>
      <c r="B14" s="14"/>
      <c r="C14" s="13" t="s">
        <v>4</v>
      </c>
      <c r="D14" s="46" t="s">
        <v>4</v>
      </c>
      <c r="E14" s="13" t="s">
        <v>4</v>
      </c>
      <c r="F14" s="13" t="s">
        <v>1</v>
      </c>
      <c r="G14" s="13"/>
      <c r="H14" s="13" t="s">
        <v>1</v>
      </c>
      <c r="I14" s="104"/>
      <c r="J14" s="105"/>
      <c r="K14" s="10" t="s">
        <v>21</v>
      </c>
      <c r="L14" s="106"/>
      <c r="M14" s="107"/>
      <c r="N14" s="10" t="s">
        <v>21</v>
      </c>
    </row>
    <row r="15" spans="1:14" ht="15" customHeight="1">
      <c r="A15" s="14"/>
      <c r="B15" s="14" t="s">
        <v>6</v>
      </c>
      <c r="C15" s="13" t="s">
        <v>11</v>
      </c>
      <c r="D15" s="46" t="s">
        <v>3</v>
      </c>
      <c r="E15" s="13" t="s">
        <v>11</v>
      </c>
      <c r="F15" s="13" t="s">
        <v>12</v>
      </c>
      <c r="G15" s="13" t="s">
        <v>2</v>
      </c>
      <c r="H15" s="14" t="s">
        <v>12</v>
      </c>
      <c r="I15" s="27" t="s">
        <v>25</v>
      </c>
      <c r="J15" s="28"/>
      <c r="K15" s="11" t="s">
        <v>22</v>
      </c>
      <c r="L15" s="26" t="s">
        <v>25</v>
      </c>
      <c r="M15" s="29"/>
      <c r="N15" s="11" t="s">
        <v>23</v>
      </c>
    </row>
    <row r="16" spans="1:14" ht="12.75">
      <c r="A16" s="20" t="s">
        <v>5</v>
      </c>
      <c r="B16" s="20" t="s">
        <v>3</v>
      </c>
      <c r="C16" s="20" t="s">
        <v>8</v>
      </c>
      <c r="D16" s="47" t="s">
        <v>8</v>
      </c>
      <c r="E16" s="20" t="s">
        <v>8</v>
      </c>
      <c r="F16" s="20" t="s">
        <v>8</v>
      </c>
      <c r="G16" s="20" t="s">
        <v>8</v>
      </c>
      <c r="H16" s="20" t="s">
        <v>8</v>
      </c>
      <c r="I16" s="21" t="s">
        <v>8</v>
      </c>
      <c r="J16" s="22" t="s">
        <v>9</v>
      </c>
      <c r="K16" s="23" t="s">
        <v>8</v>
      </c>
      <c r="L16" s="24" t="s">
        <v>13</v>
      </c>
      <c r="M16" s="25" t="s">
        <v>17</v>
      </c>
      <c r="N16" s="23" t="s">
        <v>8</v>
      </c>
    </row>
    <row r="17" spans="1:14" s="4" customFormat="1" ht="12.75" hidden="1">
      <c r="A17" s="17">
        <v>2016</v>
      </c>
      <c r="B17" s="17"/>
      <c r="C17" s="43">
        <v>27238.0286375</v>
      </c>
      <c r="D17" s="48">
        <v>0</v>
      </c>
      <c r="E17" s="43">
        <f>C17+D17</f>
        <v>27238.0286375</v>
      </c>
      <c r="F17" s="43">
        <v>24169.686546596025</v>
      </c>
      <c r="G17" s="43">
        <v>1842.4666740400107</v>
      </c>
      <c r="H17" s="43">
        <f aca="true" t="shared" si="0" ref="H17:H26">F17-G17</f>
        <v>22327.219872556016</v>
      </c>
      <c r="I17" s="30">
        <f>E17-H17</f>
        <v>4910.808764943984</v>
      </c>
      <c r="J17" s="32">
        <f aca="true" t="shared" si="1" ref="J17:J26">I17/H17*100</f>
        <v>21.994716731303438</v>
      </c>
      <c r="K17" s="36">
        <f>E17-H17*1.2</f>
        <v>445.36479043278086</v>
      </c>
      <c r="L17" s="30">
        <f>E17-F17</f>
        <v>3068.342090903974</v>
      </c>
      <c r="M17" s="34">
        <f aca="true" t="shared" si="2" ref="M17:M31">L17/F17*100</f>
        <v>12.695001587995804</v>
      </c>
      <c r="N17" s="38">
        <f>E17-F17*1.1</f>
        <v>651.3734362443683</v>
      </c>
    </row>
    <row r="18" spans="1:14" s="4" customFormat="1" ht="12.75" hidden="1">
      <c r="A18" s="17">
        <f aca="true" t="shared" si="3" ref="A18:A31">A17+1</f>
        <v>2017</v>
      </c>
      <c r="B18" s="17"/>
      <c r="C18" s="43">
        <v>26881.95290135625</v>
      </c>
      <c r="D18" s="48">
        <v>0</v>
      </c>
      <c r="E18" s="43">
        <f>C18+D18</f>
        <v>26881.95290135625</v>
      </c>
      <c r="F18" s="43">
        <v>24336.040599945238</v>
      </c>
      <c r="G18" s="43">
        <v>1934.8048828331127</v>
      </c>
      <c r="H18" s="43">
        <f t="shared" si="0"/>
        <v>22401.235717112126</v>
      </c>
      <c r="I18" s="30">
        <f aca="true" t="shared" si="4" ref="I18:I26">E18-H18</f>
        <v>4480.717184244124</v>
      </c>
      <c r="J18" s="32">
        <f t="shared" si="1"/>
        <v>20.002098280771804</v>
      </c>
      <c r="K18" s="36">
        <f aca="true" t="shared" si="5" ref="K18:K31">E18-H18*1.2</f>
        <v>0.4700408216995129</v>
      </c>
      <c r="L18" s="30">
        <f aca="true" t="shared" si="6" ref="L18:L31">E18-F18</f>
        <v>2545.912301411012</v>
      </c>
      <c r="M18" s="34">
        <f t="shared" si="2"/>
        <v>10.461489373981161</v>
      </c>
      <c r="N18" s="38">
        <f aca="true" t="shared" si="7" ref="N18:N31">E18-F18*1.1</f>
        <v>112.30824141648554</v>
      </c>
    </row>
    <row r="19" spans="1:14" s="4" customFormat="1" ht="12.75" hidden="1">
      <c r="A19" s="17">
        <f t="shared" si="3"/>
        <v>2018</v>
      </c>
      <c r="B19" s="17"/>
      <c r="C19" s="43">
        <v>27133.509127497437</v>
      </c>
      <c r="D19" s="48">
        <v>0</v>
      </c>
      <c r="E19" s="43">
        <f aca="true" t="shared" si="8" ref="E19:E30">C19+D19</f>
        <v>27133.509127497437</v>
      </c>
      <c r="F19" s="43">
        <v>24606.278955403854</v>
      </c>
      <c r="G19" s="43">
        <v>1995.2014194263602</v>
      </c>
      <c r="H19" s="43">
        <f t="shared" si="0"/>
        <v>22611.077535977493</v>
      </c>
      <c r="I19" s="30">
        <f t="shared" si="4"/>
        <v>4522.431591519944</v>
      </c>
      <c r="J19" s="32">
        <f t="shared" si="1"/>
        <v>20.000955656907998</v>
      </c>
      <c r="K19" s="36">
        <f t="shared" si="5"/>
        <v>0.21608432444554637</v>
      </c>
      <c r="L19" s="30">
        <f t="shared" si="6"/>
        <v>2527.230172093583</v>
      </c>
      <c r="M19" s="34">
        <f t="shared" si="2"/>
        <v>10.270671874743462</v>
      </c>
      <c r="N19" s="38">
        <f t="shared" si="7"/>
        <v>66.60227655319613</v>
      </c>
    </row>
    <row r="20" spans="1:14" s="4" customFormat="1" ht="12.75">
      <c r="A20" s="17">
        <f t="shared" si="3"/>
        <v>2019</v>
      </c>
      <c r="B20" s="17" t="s">
        <v>15</v>
      </c>
      <c r="C20" s="43">
        <v>28551.067017858702</v>
      </c>
      <c r="D20" s="91">
        <v>0</v>
      </c>
      <c r="E20" s="43">
        <f t="shared" si="8"/>
        <v>28551.067017858702</v>
      </c>
      <c r="F20" s="43">
        <v>24893.09445872483</v>
      </c>
      <c r="G20" s="43">
        <v>2041.4456948504048</v>
      </c>
      <c r="H20" s="43">
        <f t="shared" si="0"/>
        <v>22851.648763874426</v>
      </c>
      <c r="I20" s="30">
        <f t="shared" si="4"/>
        <v>5699.418253984277</v>
      </c>
      <c r="J20" s="32">
        <f t="shared" si="1"/>
        <v>24.940949832006602</v>
      </c>
      <c r="K20" s="36">
        <f t="shared" si="5"/>
        <v>1129.0885012093931</v>
      </c>
      <c r="L20" s="30">
        <f t="shared" si="6"/>
        <v>3657.972559133872</v>
      </c>
      <c r="M20" s="34">
        <f t="shared" si="2"/>
        <v>14.694728151211356</v>
      </c>
      <c r="N20" s="38">
        <f t="shared" si="7"/>
        <v>1168.6631132613875</v>
      </c>
    </row>
    <row r="21" spans="1:14" s="4" customFormat="1" ht="12.75">
      <c r="A21" s="17">
        <f t="shared" si="3"/>
        <v>2020</v>
      </c>
      <c r="B21" s="17" t="s">
        <v>16</v>
      </c>
      <c r="C21" s="43">
        <v>27994.626565283546</v>
      </c>
      <c r="D21" s="91">
        <f aca="true" t="shared" si="9" ref="D21:D31">D20+C39+E39+K39</f>
        <v>0</v>
      </c>
      <c r="E21" s="43">
        <f t="shared" si="8"/>
        <v>27994.626565283546</v>
      </c>
      <c r="F21" s="43">
        <v>25205.928535800045</v>
      </c>
      <c r="G21" s="43">
        <v>2088.462209365558</v>
      </c>
      <c r="H21" s="43">
        <f t="shared" si="0"/>
        <v>23117.466326434485</v>
      </c>
      <c r="I21" s="30">
        <f t="shared" si="4"/>
        <v>4877.160238849061</v>
      </c>
      <c r="J21" s="32">
        <f t="shared" si="1"/>
        <v>21.09729574158436</v>
      </c>
      <c r="K21" s="36">
        <f t="shared" si="5"/>
        <v>253.66697356216537</v>
      </c>
      <c r="L21" s="30">
        <f t="shared" si="6"/>
        <v>2788.698029483501</v>
      </c>
      <c r="M21" s="34">
        <f t="shared" si="2"/>
        <v>11.06365919241065</v>
      </c>
      <c r="N21" s="38">
        <f t="shared" si="7"/>
        <v>268.10517590349264</v>
      </c>
    </row>
    <row r="22" spans="1:14" s="4" customFormat="1" ht="12.75">
      <c r="A22" s="17">
        <f t="shared" si="3"/>
        <v>2021</v>
      </c>
      <c r="B22" s="17" t="s">
        <v>14</v>
      </c>
      <c r="C22" s="43">
        <v>28141.719762651013</v>
      </c>
      <c r="D22" s="91">
        <f t="shared" si="9"/>
        <v>0</v>
      </c>
      <c r="E22" s="43">
        <f t="shared" si="8"/>
        <v>28141.719762651013</v>
      </c>
      <c r="F22" s="43">
        <v>25316.416253234296</v>
      </c>
      <c r="G22" s="43">
        <v>2136.2343409014484</v>
      </c>
      <c r="H22" s="43">
        <f t="shared" si="0"/>
        <v>23180.181912332846</v>
      </c>
      <c r="I22" s="30">
        <f t="shared" si="4"/>
        <v>4961.537850318167</v>
      </c>
      <c r="J22" s="32">
        <f t="shared" si="1"/>
        <v>21.40422309489477</v>
      </c>
      <c r="K22" s="36">
        <f t="shared" si="5"/>
        <v>325.50146785159814</v>
      </c>
      <c r="L22" s="30">
        <f t="shared" si="6"/>
        <v>2825.303509416717</v>
      </c>
      <c r="M22" s="34">
        <f t="shared" si="2"/>
        <v>11.159966249392706</v>
      </c>
      <c r="N22" s="38">
        <f t="shared" si="7"/>
        <v>293.66188409328606</v>
      </c>
    </row>
    <row r="23" spans="1:14" s="4" customFormat="1" ht="12.75">
      <c r="A23" s="17">
        <f t="shared" si="3"/>
        <v>2022</v>
      </c>
      <c r="B23" s="17" t="s">
        <v>65</v>
      </c>
      <c r="C23" s="43">
        <v>28271.816006875466</v>
      </c>
      <c r="D23" s="91">
        <f t="shared" si="9"/>
        <v>0</v>
      </c>
      <c r="E23" s="43">
        <f t="shared" si="8"/>
        <v>28271.816006875466</v>
      </c>
      <c r="F23" s="43">
        <v>25540.189209268094</v>
      </c>
      <c r="G23" s="43">
        <v>2184.7465153952003</v>
      </c>
      <c r="H23" s="43">
        <f t="shared" si="0"/>
        <v>23355.442693872894</v>
      </c>
      <c r="I23" s="30">
        <f t="shared" si="4"/>
        <v>4916.373313002572</v>
      </c>
      <c r="J23" s="32">
        <f t="shared" si="1"/>
        <v>21.0502253262463</v>
      </c>
      <c r="K23" s="36">
        <f t="shared" si="5"/>
        <v>245.2847742279955</v>
      </c>
      <c r="L23" s="30">
        <f t="shared" si="6"/>
        <v>2731.6267976073723</v>
      </c>
      <c r="M23" s="34">
        <f t="shared" si="2"/>
        <v>10.695405485156359</v>
      </c>
      <c r="N23" s="38">
        <f t="shared" si="7"/>
        <v>177.60787668056219</v>
      </c>
    </row>
    <row r="24" spans="1:14" s="4" customFormat="1" ht="12.75">
      <c r="A24" s="17">
        <f t="shared" si="3"/>
        <v>2023</v>
      </c>
      <c r="B24" s="17" t="s">
        <v>64</v>
      </c>
      <c r="C24" s="43">
        <v>28898</v>
      </c>
      <c r="D24" s="91">
        <f t="shared" si="9"/>
        <v>0</v>
      </c>
      <c r="E24" s="43">
        <f t="shared" si="8"/>
        <v>28898</v>
      </c>
      <c r="F24" s="43">
        <v>25832.903255827194</v>
      </c>
      <c r="G24" s="43">
        <v>2234.0294854316176</v>
      </c>
      <c r="H24" s="43">
        <f t="shared" si="0"/>
        <v>23598.873770395578</v>
      </c>
      <c r="I24" s="30">
        <f t="shared" si="4"/>
        <v>5299.126229604422</v>
      </c>
      <c r="J24" s="32">
        <f t="shared" si="1"/>
        <v>22.454996289916572</v>
      </c>
      <c r="K24" s="36">
        <f t="shared" si="5"/>
        <v>579.3514755253091</v>
      </c>
      <c r="L24" s="30">
        <f t="shared" si="6"/>
        <v>3065.096744172806</v>
      </c>
      <c r="M24" s="34">
        <f t="shared" si="2"/>
        <v>11.865088154508552</v>
      </c>
      <c r="N24" s="38">
        <f t="shared" si="7"/>
        <v>481.8064185900839</v>
      </c>
    </row>
    <row r="25" spans="1:14" s="4" customFormat="1" ht="13.5" thickBot="1">
      <c r="A25" s="49">
        <f t="shared" si="3"/>
        <v>2024</v>
      </c>
      <c r="B25" s="49"/>
      <c r="C25" s="50">
        <v>28895</v>
      </c>
      <c r="D25" s="95">
        <f t="shared" si="9"/>
        <v>0</v>
      </c>
      <c r="E25" s="50">
        <f t="shared" si="8"/>
        <v>28895</v>
      </c>
      <c r="F25" s="50">
        <v>26180.278517781553</v>
      </c>
      <c r="G25" s="50">
        <v>2284.18220399574</v>
      </c>
      <c r="H25" s="50">
        <f t="shared" si="0"/>
        <v>23896.096313785813</v>
      </c>
      <c r="I25" s="51">
        <f t="shared" si="4"/>
        <v>4998.9036862141875</v>
      </c>
      <c r="J25" s="52">
        <f t="shared" si="1"/>
        <v>20.91933184639153</v>
      </c>
      <c r="K25" s="53">
        <f t="shared" si="5"/>
        <v>219.68442345702715</v>
      </c>
      <c r="L25" s="51">
        <f t="shared" si="6"/>
        <v>2714.721482218447</v>
      </c>
      <c r="M25" s="54">
        <f t="shared" si="2"/>
        <v>10.369337669095529</v>
      </c>
      <c r="N25" s="55">
        <f t="shared" si="7"/>
        <v>96.69363044028796</v>
      </c>
    </row>
    <row r="26" spans="1:14" s="4" customFormat="1" ht="12.75">
      <c r="A26" s="17">
        <f t="shared" si="3"/>
        <v>2025</v>
      </c>
      <c r="B26" s="17"/>
      <c r="C26" s="43">
        <v>28892</v>
      </c>
      <c r="D26" s="91">
        <f t="shared" si="9"/>
        <v>255.35</v>
      </c>
      <c r="E26" s="43">
        <f t="shared" si="8"/>
        <v>29147.35</v>
      </c>
      <c r="F26" s="43">
        <v>26572.4560211349</v>
      </c>
      <c r="G26" s="43">
        <v>2334</v>
      </c>
      <c r="H26" s="43">
        <f t="shared" si="0"/>
        <v>24238.4560211349</v>
      </c>
      <c r="I26" s="30">
        <f t="shared" si="4"/>
        <v>4908.893978865097</v>
      </c>
      <c r="J26" s="32">
        <f t="shared" si="1"/>
        <v>20.252502777341718</v>
      </c>
      <c r="K26" s="36">
        <f t="shared" si="5"/>
        <v>61.20277463811726</v>
      </c>
      <c r="L26" s="30">
        <f t="shared" si="6"/>
        <v>2574.893978865097</v>
      </c>
      <c r="M26" s="34">
        <f t="shared" si="2"/>
        <v>9.690086519729704</v>
      </c>
      <c r="N26" s="38">
        <f t="shared" si="7"/>
        <v>-82.35162324839621</v>
      </c>
    </row>
    <row r="27" spans="1:14" s="4" customFormat="1" ht="12.75">
      <c r="A27" s="17">
        <f t="shared" si="3"/>
        <v>2026</v>
      </c>
      <c r="B27" s="17"/>
      <c r="C27" s="43">
        <v>28889</v>
      </c>
      <c r="D27" s="91">
        <f t="shared" si="9"/>
        <v>2156.35</v>
      </c>
      <c r="E27" s="43">
        <f t="shared" si="8"/>
        <v>31045.35</v>
      </c>
      <c r="F27" s="43">
        <v>27067.6000853683</v>
      </c>
      <c r="G27" s="43">
        <v>2384</v>
      </c>
      <c r="H27" s="43">
        <f>F27-G27</f>
        <v>24683.6000853683</v>
      </c>
      <c r="I27" s="30">
        <f>E27-H27</f>
        <v>6361.749914631699</v>
      </c>
      <c r="J27" s="32">
        <f>I27/H27*100</f>
        <v>25.773184999876715</v>
      </c>
      <c r="K27" s="36">
        <f t="shared" si="5"/>
        <v>1425.0298975580408</v>
      </c>
      <c r="L27" s="30">
        <f t="shared" si="6"/>
        <v>3977.7499146316986</v>
      </c>
      <c r="M27" s="34">
        <f t="shared" si="2"/>
        <v>14.69561358260911</v>
      </c>
      <c r="N27" s="38">
        <f t="shared" si="7"/>
        <v>1270.9899060948665</v>
      </c>
    </row>
    <row r="28" spans="1:14" s="4" customFormat="1" ht="12.75">
      <c r="A28" s="17">
        <f t="shared" si="3"/>
        <v>2027</v>
      </c>
      <c r="B28" s="17"/>
      <c r="C28" s="43">
        <v>28883</v>
      </c>
      <c r="D28" s="91">
        <f t="shared" si="9"/>
        <v>2356.35</v>
      </c>
      <c r="E28" s="43">
        <f t="shared" si="8"/>
        <v>31239.35</v>
      </c>
      <c r="F28" s="43">
        <v>27665.21915802903</v>
      </c>
      <c r="G28" s="43">
        <v>2434</v>
      </c>
      <c r="H28" s="43">
        <f>F28-G28</f>
        <v>25231.21915802903</v>
      </c>
      <c r="I28" s="30">
        <f>E28-H28</f>
        <v>6008.130841970968</v>
      </c>
      <c r="J28" s="32">
        <f>I28/H28*100</f>
        <v>23.81228907069705</v>
      </c>
      <c r="K28" s="36">
        <f t="shared" si="5"/>
        <v>961.8870103651643</v>
      </c>
      <c r="L28" s="30">
        <f t="shared" si="6"/>
        <v>3574.1308419709676</v>
      </c>
      <c r="M28" s="34">
        <f t="shared" si="2"/>
        <v>12.919221140287549</v>
      </c>
      <c r="N28" s="38">
        <f t="shared" si="7"/>
        <v>807.6089261680609</v>
      </c>
    </row>
    <row r="29" spans="1:14" s="4" customFormat="1" ht="12.75">
      <c r="A29" s="17">
        <f t="shared" si="3"/>
        <v>2028</v>
      </c>
      <c r="B29" s="17"/>
      <c r="C29" s="43">
        <v>28880</v>
      </c>
      <c r="D29" s="91">
        <f t="shared" si="9"/>
        <v>2556.35</v>
      </c>
      <c r="E29" s="43">
        <f t="shared" si="8"/>
        <v>31436.35</v>
      </c>
      <c r="F29" s="43">
        <v>28224.724306714037</v>
      </c>
      <c r="G29" s="43">
        <v>2484</v>
      </c>
      <c r="H29" s="43">
        <f>F29-G29</f>
        <v>25740.724306714037</v>
      </c>
      <c r="I29" s="30">
        <f>E29-H29</f>
        <v>5695.6256932859615</v>
      </c>
      <c r="J29" s="32">
        <f>I29/H29*100</f>
        <v>22.1269053093442</v>
      </c>
      <c r="K29" s="36">
        <f t="shared" si="5"/>
        <v>547.480831943154</v>
      </c>
      <c r="L29" s="30">
        <f t="shared" si="6"/>
        <v>3211.6256932859615</v>
      </c>
      <c r="M29" s="34">
        <f t="shared" si="2"/>
        <v>11.378767276468976</v>
      </c>
      <c r="N29" s="38">
        <f t="shared" si="7"/>
        <v>389.1532626145563</v>
      </c>
    </row>
    <row r="30" spans="1:14" s="4" customFormat="1" ht="12.75">
      <c r="A30" s="17">
        <f t="shared" si="3"/>
        <v>2029</v>
      </c>
      <c r="B30" s="13"/>
      <c r="C30" s="43">
        <v>28878</v>
      </c>
      <c r="D30" s="91">
        <f t="shared" si="9"/>
        <v>2756.35</v>
      </c>
      <c r="E30" s="43">
        <f t="shared" si="8"/>
        <v>31634.35</v>
      </c>
      <c r="F30" s="43">
        <v>28804.814369193406</v>
      </c>
      <c r="G30" s="43">
        <v>2534</v>
      </c>
      <c r="H30" s="43">
        <f>F30-G30</f>
        <v>26270.814369193406</v>
      </c>
      <c r="I30" s="30">
        <f>E30-H30</f>
        <v>5363.535630806593</v>
      </c>
      <c r="J30" s="32">
        <f>I30/H30*100</f>
        <v>20.416328003505548</v>
      </c>
      <c r="K30" s="36">
        <f t="shared" si="5"/>
        <v>109.37275696791403</v>
      </c>
      <c r="L30" s="30">
        <f t="shared" si="6"/>
        <v>2829.535630806593</v>
      </c>
      <c r="M30" s="34">
        <f t="shared" si="2"/>
        <v>9.823134405728947</v>
      </c>
      <c r="N30" s="38">
        <f t="shared" si="7"/>
        <v>-50.9458061127516</v>
      </c>
    </row>
    <row r="31" spans="1:14" s="4" customFormat="1" ht="12.75">
      <c r="A31" s="18">
        <f t="shared" si="3"/>
        <v>2030</v>
      </c>
      <c r="B31" s="18"/>
      <c r="C31" s="44">
        <v>28875</v>
      </c>
      <c r="D31" s="92">
        <f t="shared" si="9"/>
        <v>4707.35</v>
      </c>
      <c r="E31" s="44">
        <f>C31+D31</f>
        <v>33582.35</v>
      </c>
      <c r="F31" s="44">
        <v>29397.66178369829</v>
      </c>
      <c r="G31" s="44">
        <v>2584</v>
      </c>
      <c r="H31" s="44">
        <f>F31-G31</f>
        <v>26813.66178369829</v>
      </c>
      <c r="I31" s="31">
        <f>E31-H31</f>
        <v>6768.688216301707</v>
      </c>
      <c r="J31" s="33">
        <f>I31/H31*100</f>
        <v>25.243431019991526</v>
      </c>
      <c r="K31" s="37">
        <f t="shared" si="5"/>
        <v>1405.955859562051</v>
      </c>
      <c r="L31" s="31">
        <f t="shared" si="6"/>
        <v>4184.688216301707</v>
      </c>
      <c r="M31" s="35">
        <f t="shared" si="2"/>
        <v>14.23476549628929</v>
      </c>
      <c r="N31" s="39">
        <f t="shared" si="7"/>
        <v>1244.9220379318758</v>
      </c>
    </row>
    <row r="32" spans="1:4" ht="12" customHeight="1">
      <c r="A32" s="5"/>
      <c r="B32" s="5" t="s">
        <v>66</v>
      </c>
      <c r="C32" s="5"/>
      <c r="D32" s="5"/>
    </row>
    <row r="33" spans="1:11" ht="12.75">
      <c r="A33" s="6"/>
      <c r="B33" s="6"/>
      <c r="C33" s="6"/>
      <c r="D33" s="6"/>
      <c r="E33" s="4"/>
      <c r="F33" s="4"/>
      <c r="G33" s="4"/>
      <c r="H33" s="4"/>
      <c r="I33" s="4"/>
      <c r="J33" s="4"/>
      <c r="K33" s="4"/>
    </row>
    <row r="34" spans="1:4" ht="12.75">
      <c r="A34" s="2"/>
      <c r="B34" s="2"/>
      <c r="C34" s="2"/>
      <c r="D34" s="2"/>
    </row>
    <row r="35" spans="1:11" ht="15.75">
      <c r="A35" s="93"/>
      <c r="B35" s="108" t="s">
        <v>32</v>
      </c>
      <c r="C35" s="109"/>
      <c r="D35" s="109"/>
      <c r="E35" s="110"/>
      <c r="H35" s="71"/>
      <c r="I35" s="71"/>
      <c r="J35" s="72" t="s">
        <v>40</v>
      </c>
      <c r="K35" s="71"/>
    </row>
    <row r="36" spans="1:11" ht="15">
      <c r="A36" s="93"/>
      <c r="B36" s="56"/>
      <c r="C36" s="57" t="s">
        <v>33</v>
      </c>
      <c r="D36" s="57" t="s">
        <v>34</v>
      </c>
      <c r="E36" s="58"/>
      <c r="H36" s="98" t="s">
        <v>41</v>
      </c>
      <c r="I36" s="73" t="s">
        <v>42</v>
      </c>
      <c r="J36" s="73" t="s">
        <v>43</v>
      </c>
      <c r="K36" s="73" t="s">
        <v>44</v>
      </c>
    </row>
    <row r="37" spans="1:11" ht="15">
      <c r="A37" s="93"/>
      <c r="B37" s="59"/>
      <c r="C37" s="60" t="s">
        <v>35</v>
      </c>
      <c r="D37" s="60" t="s">
        <v>35</v>
      </c>
      <c r="E37" s="61" t="s">
        <v>36</v>
      </c>
      <c r="H37" s="98" t="s">
        <v>45</v>
      </c>
      <c r="I37" s="73" t="s">
        <v>8</v>
      </c>
      <c r="J37" s="73" t="s">
        <v>46</v>
      </c>
      <c r="K37" s="73" t="s">
        <v>47</v>
      </c>
    </row>
    <row r="38" spans="1:5" ht="15">
      <c r="A38" s="9"/>
      <c r="B38" s="62" t="s">
        <v>5</v>
      </c>
      <c r="C38" s="63" t="s">
        <v>8</v>
      </c>
      <c r="D38" s="63" t="s">
        <v>8</v>
      </c>
      <c r="E38" s="61" t="s">
        <v>8</v>
      </c>
    </row>
    <row r="39" spans="1:11" ht="12.75">
      <c r="A39" s="9"/>
      <c r="B39" s="70">
        <v>2020</v>
      </c>
      <c r="C39" s="64">
        <v>0</v>
      </c>
      <c r="D39" s="64">
        <v>0</v>
      </c>
      <c r="E39" s="64">
        <v>0</v>
      </c>
      <c r="H39" s="79">
        <v>1700</v>
      </c>
      <c r="I39" s="75">
        <f>H39+D39</f>
        <v>1700</v>
      </c>
      <c r="J39" s="78">
        <v>0.41</v>
      </c>
      <c r="K39" s="76">
        <f>D39*J39</f>
        <v>0</v>
      </c>
    </row>
    <row r="40" spans="1:11" ht="12.75">
      <c r="A40" s="9"/>
      <c r="B40" s="70">
        <v>2021</v>
      </c>
      <c r="C40" s="64">
        <v>0</v>
      </c>
      <c r="D40" s="64">
        <v>0</v>
      </c>
      <c r="E40" s="64">
        <v>0</v>
      </c>
      <c r="H40" s="74"/>
      <c r="I40" s="75">
        <f>I39+D40</f>
        <v>1700</v>
      </c>
      <c r="J40" s="78">
        <v>0.41</v>
      </c>
      <c r="K40" s="76">
        <f aca="true" t="shared" si="10" ref="K40:K49">D40*J40</f>
        <v>0</v>
      </c>
    </row>
    <row r="41" spans="1:11" ht="12.75">
      <c r="A41" s="9"/>
      <c r="B41" s="70">
        <v>2022</v>
      </c>
      <c r="C41" s="64">
        <v>0</v>
      </c>
      <c r="D41" s="64">
        <v>0</v>
      </c>
      <c r="E41" s="64">
        <v>0</v>
      </c>
      <c r="H41" s="74"/>
      <c r="I41" s="75">
        <f aca="true" t="shared" si="11" ref="I41:I49">I40+D41</f>
        <v>1700</v>
      </c>
      <c r="J41" s="78">
        <v>0.41</v>
      </c>
      <c r="K41" s="76">
        <f t="shared" si="10"/>
        <v>0</v>
      </c>
    </row>
    <row r="42" spans="1:11" ht="12.75">
      <c r="A42" s="9"/>
      <c r="B42" s="70">
        <v>2023</v>
      </c>
      <c r="C42" s="64">
        <v>0</v>
      </c>
      <c r="D42" s="64">
        <v>0</v>
      </c>
      <c r="E42" s="64">
        <v>0</v>
      </c>
      <c r="H42" s="74"/>
      <c r="I42" s="75">
        <f t="shared" si="11"/>
        <v>1700</v>
      </c>
      <c r="J42" s="78">
        <v>0.41</v>
      </c>
      <c r="K42" s="76">
        <f t="shared" si="10"/>
        <v>0</v>
      </c>
    </row>
    <row r="43" spans="2:11" ht="12.75">
      <c r="B43" s="70">
        <v>2024</v>
      </c>
      <c r="C43" s="64">
        <v>0</v>
      </c>
      <c r="D43" s="64">
        <v>0</v>
      </c>
      <c r="E43" s="64">
        <v>0</v>
      </c>
      <c r="H43" s="74"/>
      <c r="I43" s="75">
        <f t="shared" si="11"/>
        <v>1700</v>
      </c>
      <c r="J43" s="78">
        <v>0.41</v>
      </c>
      <c r="K43" s="76">
        <f t="shared" si="10"/>
        <v>0</v>
      </c>
    </row>
    <row r="44" spans="2:11" ht="12.75">
      <c r="B44" s="70">
        <v>2025</v>
      </c>
      <c r="C44" s="64">
        <v>200</v>
      </c>
      <c r="D44" s="64">
        <v>135</v>
      </c>
      <c r="E44" s="64">
        <v>0</v>
      </c>
      <c r="H44" s="74"/>
      <c r="I44" s="75">
        <f t="shared" si="11"/>
        <v>1835</v>
      </c>
      <c r="J44" s="78">
        <v>0.41</v>
      </c>
      <c r="K44" s="76">
        <f t="shared" si="10"/>
        <v>55.349999999999994</v>
      </c>
    </row>
    <row r="45" spans="2:11" ht="12.75">
      <c r="B45" s="70">
        <v>2026</v>
      </c>
      <c r="C45" s="64">
        <v>150</v>
      </c>
      <c r="D45" s="64">
        <v>0</v>
      </c>
      <c r="E45" s="64">
        <v>1751</v>
      </c>
      <c r="H45" s="74"/>
      <c r="I45" s="75">
        <f t="shared" si="11"/>
        <v>1835</v>
      </c>
      <c r="J45" s="78">
        <v>0.41</v>
      </c>
      <c r="K45" s="76">
        <f t="shared" si="10"/>
        <v>0</v>
      </c>
    </row>
    <row r="46" spans="2:11" ht="12.75">
      <c r="B46" s="70">
        <v>2027</v>
      </c>
      <c r="C46" s="64">
        <v>200</v>
      </c>
      <c r="D46" s="64">
        <v>0</v>
      </c>
      <c r="E46" s="64">
        <v>0</v>
      </c>
      <c r="H46" s="74"/>
      <c r="I46" s="75">
        <f t="shared" si="11"/>
        <v>1835</v>
      </c>
      <c r="J46" s="78">
        <v>0.41</v>
      </c>
      <c r="K46" s="76">
        <f t="shared" si="10"/>
        <v>0</v>
      </c>
    </row>
    <row r="47" spans="2:11" ht="12.75">
      <c r="B47" s="70">
        <v>2028</v>
      </c>
      <c r="C47" s="64">
        <v>200</v>
      </c>
      <c r="D47" s="64">
        <v>0</v>
      </c>
      <c r="E47" s="64">
        <v>0</v>
      </c>
      <c r="H47" s="74"/>
      <c r="I47" s="75">
        <f t="shared" si="11"/>
        <v>1835</v>
      </c>
      <c r="J47" s="78">
        <v>0.41</v>
      </c>
      <c r="K47" s="76">
        <f t="shared" si="10"/>
        <v>0</v>
      </c>
    </row>
    <row r="48" spans="2:11" ht="12.75">
      <c r="B48" s="70">
        <v>2029</v>
      </c>
      <c r="C48" s="64">
        <v>200</v>
      </c>
      <c r="D48" s="64">
        <v>0</v>
      </c>
      <c r="E48" s="64">
        <v>0</v>
      </c>
      <c r="H48" s="74"/>
      <c r="I48" s="75">
        <f t="shared" si="11"/>
        <v>1835</v>
      </c>
      <c r="J48" s="78">
        <v>0.41</v>
      </c>
      <c r="K48" s="76">
        <f t="shared" si="10"/>
        <v>0</v>
      </c>
    </row>
    <row r="49" spans="2:11" ht="12.75">
      <c r="B49" s="70">
        <v>2030</v>
      </c>
      <c r="C49" s="64">
        <v>200</v>
      </c>
      <c r="D49" s="64">
        <v>0</v>
      </c>
      <c r="E49" s="64">
        <v>1751</v>
      </c>
      <c r="H49" s="74"/>
      <c r="I49" s="75">
        <f t="shared" si="11"/>
        <v>1835</v>
      </c>
      <c r="J49" s="78">
        <v>0.41</v>
      </c>
      <c r="K49" s="76">
        <f t="shared" si="10"/>
        <v>0</v>
      </c>
    </row>
    <row r="50" spans="2:11" ht="28.5" customHeight="1">
      <c r="B50" s="65" t="s">
        <v>37</v>
      </c>
      <c r="C50" s="66">
        <f>SUM(C39:C49)</f>
        <v>1150</v>
      </c>
      <c r="D50" s="66">
        <f>SUM(D39:D49)</f>
        <v>135</v>
      </c>
      <c r="E50" s="66">
        <f>SUM(E39:E49)</f>
        <v>3502</v>
      </c>
      <c r="H50" s="74"/>
      <c r="I50" s="74"/>
      <c r="J50" s="74"/>
      <c r="K50" s="99">
        <f>SUM(K39:K49)</f>
        <v>55.349999999999994</v>
      </c>
    </row>
    <row r="51" spans="2:5" ht="15">
      <c r="B51" s="67" t="s">
        <v>38</v>
      </c>
      <c r="C51" s="66">
        <f>C50</f>
        <v>1150</v>
      </c>
      <c r="D51" s="100">
        <f>K50</f>
        <v>55.349999999999994</v>
      </c>
      <c r="E51" s="66">
        <f>E50</f>
        <v>3502</v>
      </c>
    </row>
    <row r="52" spans="2:5" ht="30">
      <c r="B52" s="67" t="s">
        <v>39</v>
      </c>
      <c r="C52" s="66">
        <f>SUM(C51:E51)</f>
        <v>4707.35</v>
      </c>
      <c r="D52" s="69"/>
      <c r="E52" s="69"/>
    </row>
    <row r="55" spans="2:7" ht="15">
      <c r="B55" s="80" t="s">
        <v>48</v>
      </c>
      <c r="C55" s="81"/>
      <c r="D55" s="81"/>
      <c r="E55" s="81"/>
      <c r="F55" s="81"/>
      <c r="G55" s="82"/>
    </row>
    <row r="56" spans="2:7" ht="12.75">
      <c r="B56" s="83"/>
      <c r="C56" s="84"/>
      <c r="D56" s="84"/>
      <c r="E56" s="84"/>
      <c r="F56" s="84"/>
      <c r="G56" s="85"/>
    </row>
    <row r="57" spans="2:7" ht="12.75">
      <c r="B57" s="83" t="s">
        <v>49</v>
      </c>
      <c r="C57" s="84"/>
      <c r="D57" s="86">
        <v>0.52</v>
      </c>
      <c r="E57" s="84"/>
      <c r="F57" s="84"/>
      <c r="G57" s="85"/>
    </row>
    <row r="58" spans="2:7" ht="12.75">
      <c r="B58" s="83" t="s">
        <v>50</v>
      </c>
      <c r="C58" s="84"/>
      <c r="D58" s="86">
        <v>0.48</v>
      </c>
      <c r="E58" s="84"/>
      <c r="F58" s="84"/>
      <c r="G58" s="85"/>
    </row>
    <row r="59" spans="2:7" ht="12.75">
      <c r="B59" s="83" t="s">
        <v>51</v>
      </c>
      <c r="C59" s="84"/>
      <c r="D59" s="86">
        <v>0.44</v>
      </c>
      <c r="E59" s="84"/>
      <c r="F59" s="84"/>
      <c r="G59" s="85"/>
    </row>
    <row r="60" spans="2:7" ht="12.75">
      <c r="B60" s="83" t="s">
        <v>52</v>
      </c>
      <c r="C60" s="84"/>
      <c r="D60" s="86">
        <v>0.41</v>
      </c>
      <c r="E60" s="84"/>
      <c r="F60" s="84"/>
      <c r="G60" s="85"/>
    </row>
    <row r="61" spans="2:7" ht="12.75">
      <c r="B61" s="83" t="s">
        <v>53</v>
      </c>
      <c r="C61" s="84"/>
      <c r="D61" s="86">
        <v>0.37</v>
      </c>
      <c r="E61" s="84"/>
      <c r="F61" s="84"/>
      <c r="G61" s="85"/>
    </row>
    <row r="62" spans="2:7" ht="12.75">
      <c r="B62" s="87" t="s">
        <v>54</v>
      </c>
      <c r="C62" s="88"/>
      <c r="D62" s="89">
        <v>0.33</v>
      </c>
      <c r="E62" s="88"/>
      <c r="F62" s="88"/>
      <c r="G62" s="90"/>
    </row>
  </sheetData>
  <sheetProtection/>
  <mergeCells count="11">
    <mergeCell ref="B35:E35"/>
    <mergeCell ref="I11:K11"/>
    <mergeCell ref="L11:N11"/>
    <mergeCell ref="A6:N6"/>
    <mergeCell ref="A7:N7"/>
    <mergeCell ref="L12:M12"/>
    <mergeCell ref="I14:J14"/>
    <mergeCell ref="L13:M13"/>
    <mergeCell ref="L14:M14"/>
    <mergeCell ref="I13:J13"/>
    <mergeCell ref="I12:J12"/>
  </mergeCells>
  <conditionalFormatting sqref="N20:N31">
    <cfRule type="cellIs" priority="3" dxfId="18" operator="lessThan" stopIfTrue="1">
      <formula>0</formula>
    </cfRule>
  </conditionalFormatting>
  <conditionalFormatting sqref="C39:E49">
    <cfRule type="cellIs" priority="2" dxfId="0" operator="greaterThan" stopIfTrue="1">
      <formula>0</formula>
    </cfRule>
  </conditionalFormatting>
  <conditionalFormatting sqref="K39:K49">
    <cfRule type="cellIs" priority="1" dxfId="19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 transitionEvaluation="1" transitionEntry="1">
    <tabColor theme="3" tint="0.5999900102615356"/>
  </sheetPr>
  <dimension ref="A3:N62"/>
  <sheetViews>
    <sheetView showGridLines="0" zoomScalePageLayoutView="0" workbookViewId="0" topLeftCell="A1">
      <selection activeCell="A1" sqref="A1:IV2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3" spans="2:14" ht="12.75">
      <c r="B3" s="42" t="s">
        <v>29</v>
      </c>
      <c r="C3" s="42"/>
      <c r="D3" s="42"/>
      <c r="N3" s="41" t="s">
        <v>31</v>
      </c>
    </row>
    <row r="4" spans="2:14" ht="13.5">
      <c r="B4" s="96" t="s">
        <v>56</v>
      </c>
      <c r="C4" s="94"/>
      <c r="D4" s="94"/>
      <c r="N4" s="1" t="s">
        <v>30</v>
      </c>
    </row>
    <row r="5" spans="2:14" ht="12.75">
      <c r="B5" s="97" t="str">
        <f>B35</f>
        <v>Plan 2: Battery Only (Small Batteries)</v>
      </c>
      <c r="C5" s="94"/>
      <c r="D5" s="94"/>
      <c r="N5" s="1"/>
    </row>
    <row r="6" spans="1:14" ht="15.75">
      <c r="A6" s="111" t="s">
        <v>26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15.75">
      <c r="A7" s="111" t="s">
        <v>27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4" ht="12.75">
      <c r="A8" s="2"/>
      <c r="B8" s="2"/>
      <c r="C8" s="2"/>
      <c r="D8" s="2"/>
    </row>
    <row r="9" spans="1:14" ht="12.75">
      <c r="A9" s="3">
        <v>-1</v>
      </c>
      <c r="B9" s="3">
        <v>-2</v>
      </c>
      <c r="C9" s="3">
        <v>-3</v>
      </c>
      <c r="D9" s="3">
        <v>-4</v>
      </c>
      <c r="E9" s="3">
        <v>-5</v>
      </c>
      <c r="F9" s="3">
        <v>-6</v>
      </c>
      <c r="G9" s="3">
        <v>-7</v>
      </c>
      <c r="H9" s="3">
        <v>-8</v>
      </c>
      <c r="I9" s="3">
        <v>-9</v>
      </c>
      <c r="J9" s="3">
        <v>-10</v>
      </c>
      <c r="K9" s="3">
        <v>-11</v>
      </c>
      <c r="L9" s="3">
        <v>-12</v>
      </c>
      <c r="M9" s="3">
        <v>-13</v>
      </c>
      <c r="N9" s="40">
        <v>-14</v>
      </c>
    </row>
    <row r="10" spans="1:14" ht="12.75" hidden="1">
      <c r="A10" s="3">
        <v>-1</v>
      </c>
      <c r="B10" s="3">
        <v>-2</v>
      </c>
      <c r="C10" s="3"/>
      <c r="D10" s="3"/>
      <c r="E10" s="3">
        <v>-3</v>
      </c>
      <c r="F10" s="3">
        <v>-4</v>
      </c>
      <c r="G10" s="3">
        <v>-5</v>
      </c>
      <c r="H10" s="3">
        <v>-6</v>
      </c>
      <c r="I10" s="3">
        <v>-7</v>
      </c>
      <c r="J10" s="3">
        <v>-8</v>
      </c>
      <c r="K10" s="3">
        <v>-9</v>
      </c>
      <c r="L10" s="3">
        <v>-10</v>
      </c>
      <c r="M10" s="3">
        <v>-11</v>
      </c>
      <c r="N10" s="40">
        <v>-12</v>
      </c>
    </row>
    <row r="11" spans="1:14" ht="12.75">
      <c r="A11" s="19"/>
      <c r="B11" s="16"/>
      <c r="C11" s="12"/>
      <c r="D11" s="45"/>
      <c r="E11" s="12"/>
      <c r="F11" s="15"/>
      <c r="G11" s="12"/>
      <c r="H11" s="12"/>
      <c r="I11" s="112" t="s">
        <v>18</v>
      </c>
      <c r="J11" s="113"/>
      <c r="K11" s="114"/>
      <c r="L11" s="115" t="s">
        <v>24</v>
      </c>
      <c r="M11" s="116"/>
      <c r="N11" s="117"/>
    </row>
    <row r="12" spans="1:14" ht="12.75">
      <c r="A12" s="14"/>
      <c r="B12" s="14"/>
      <c r="C12" s="13" t="s">
        <v>7</v>
      </c>
      <c r="D12" s="46" t="s">
        <v>28</v>
      </c>
      <c r="E12" s="13" t="s">
        <v>7</v>
      </c>
      <c r="F12" s="14"/>
      <c r="G12" s="14"/>
      <c r="H12" s="13" t="s">
        <v>10</v>
      </c>
      <c r="I12" s="102"/>
      <c r="J12" s="103"/>
      <c r="K12" s="8" t="s">
        <v>19</v>
      </c>
      <c r="L12" s="102"/>
      <c r="M12" s="103"/>
      <c r="N12" s="8" t="s">
        <v>19</v>
      </c>
    </row>
    <row r="13" spans="1:14" ht="12.75">
      <c r="A13" s="14"/>
      <c r="B13" s="14"/>
      <c r="C13" s="14" t="s">
        <v>10</v>
      </c>
      <c r="D13" s="46" t="s">
        <v>10</v>
      </c>
      <c r="E13" s="14" t="s">
        <v>10</v>
      </c>
      <c r="F13" s="13" t="s">
        <v>7</v>
      </c>
      <c r="G13" s="14"/>
      <c r="H13" s="13" t="s">
        <v>0</v>
      </c>
      <c r="I13" s="104"/>
      <c r="J13" s="105"/>
      <c r="K13" s="9" t="s">
        <v>20</v>
      </c>
      <c r="L13" s="104"/>
      <c r="M13" s="105"/>
      <c r="N13" s="9" t="s">
        <v>20</v>
      </c>
    </row>
    <row r="14" spans="1:14" ht="15.75" customHeight="1">
      <c r="A14" s="14"/>
      <c r="B14" s="14"/>
      <c r="C14" s="13" t="s">
        <v>4</v>
      </c>
      <c r="D14" s="46" t="s">
        <v>4</v>
      </c>
      <c r="E14" s="13" t="s">
        <v>4</v>
      </c>
      <c r="F14" s="13" t="s">
        <v>1</v>
      </c>
      <c r="G14" s="13"/>
      <c r="H14" s="13" t="s">
        <v>1</v>
      </c>
      <c r="I14" s="104"/>
      <c r="J14" s="105"/>
      <c r="K14" s="10" t="s">
        <v>21</v>
      </c>
      <c r="L14" s="106"/>
      <c r="M14" s="107"/>
      <c r="N14" s="10" t="s">
        <v>21</v>
      </c>
    </row>
    <row r="15" spans="1:14" ht="15" customHeight="1">
      <c r="A15" s="14"/>
      <c r="B15" s="14" t="s">
        <v>6</v>
      </c>
      <c r="C15" s="13" t="s">
        <v>11</v>
      </c>
      <c r="D15" s="46" t="s">
        <v>3</v>
      </c>
      <c r="E15" s="13" t="s">
        <v>11</v>
      </c>
      <c r="F15" s="13" t="s">
        <v>12</v>
      </c>
      <c r="G15" s="13" t="s">
        <v>2</v>
      </c>
      <c r="H15" s="14" t="s">
        <v>12</v>
      </c>
      <c r="I15" s="27" t="s">
        <v>25</v>
      </c>
      <c r="J15" s="28"/>
      <c r="K15" s="11" t="s">
        <v>22</v>
      </c>
      <c r="L15" s="26" t="s">
        <v>25</v>
      </c>
      <c r="M15" s="29"/>
      <c r="N15" s="11" t="s">
        <v>23</v>
      </c>
    </row>
    <row r="16" spans="1:14" ht="12.75">
      <c r="A16" s="20" t="s">
        <v>5</v>
      </c>
      <c r="B16" s="20" t="s">
        <v>3</v>
      </c>
      <c r="C16" s="20" t="s">
        <v>8</v>
      </c>
      <c r="D16" s="47" t="s">
        <v>8</v>
      </c>
      <c r="E16" s="20" t="s">
        <v>8</v>
      </c>
      <c r="F16" s="20" t="s">
        <v>8</v>
      </c>
      <c r="G16" s="20" t="s">
        <v>8</v>
      </c>
      <c r="H16" s="20" t="s">
        <v>8</v>
      </c>
      <c r="I16" s="21" t="s">
        <v>8</v>
      </c>
      <c r="J16" s="22" t="s">
        <v>9</v>
      </c>
      <c r="K16" s="23" t="s">
        <v>8</v>
      </c>
      <c r="L16" s="24" t="s">
        <v>13</v>
      </c>
      <c r="M16" s="25" t="s">
        <v>17</v>
      </c>
      <c r="N16" s="23" t="s">
        <v>8</v>
      </c>
    </row>
    <row r="17" spans="1:14" s="4" customFormat="1" ht="12.75" hidden="1">
      <c r="A17" s="17">
        <v>2016</v>
      </c>
      <c r="B17" s="17"/>
      <c r="C17" s="43">
        <v>27238.0286375</v>
      </c>
      <c r="D17" s="48">
        <v>0</v>
      </c>
      <c r="E17" s="43">
        <f>C17+D17</f>
        <v>27238.0286375</v>
      </c>
      <c r="F17" s="43">
        <v>24169.686546596025</v>
      </c>
      <c r="G17" s="43">
        <v>1842.4666740400107</v>
      </c>
      <c r="H17" s="43">
        <f aca="true" t="shared" si="0" ref="H17:H26">F17-G17</f>
        <v>22327.219872556016</v>
      </c>
      <c r="I17" s="30">
        <f>E17-H17</f>
        <v>4910.808764943984</v>
      </c>
      <c r="J17" s="32">
        <f aca="true" t="shared" si="1" ref="J17:J26">I17/H17*100</f>
        <v>21.994716731303438</v>
      </c>
      <c r="K17" s="36">
        <f>E17-H17*1.2</f>
        <v>445.36479043278086</v>
      </c>
      <c r="L17" s="30">
        <f>E17-F17</f>
        <v>3068.342090903974</v>
      </c>
      <c r="M17" s="34">
        <f aca="true" t="shared" si="2" ref="M17:M31">L17/F17*100</f>
        <v>12.695001587995804</v>
      </c>
      <c r="N17" s="38">
        <f>E17-F17*1.1</f>
        <v>651.3734362443683</v>
      </c>
    </row>
    <row r="18" spans="1:14" s="4" customFormat="1" ht="12.75" hidden="1">
      <c r="A18" s="17">
        <f aca="true" t="shared" si="3" ref="A18:A31">A17+1</f>
        <v>2017</v>
      </c>
      <c r="B18" s="17"/>
      <c r="C18" s="43">
        <v>26881.95290135625</v>
      </c>
      <c r="D18" s="48">
        <v>0</v>
      </c>
      <c r="E18" s="43">
        <f>C18+D18</f>
        <v>26881.95290135625</v>
      </c>
      <c r="F18" s="43">
        <v>24336.040599945238</v>
      </c>
      <c r="G18" s="43">
        <v>1934.8048828331127</v>
      </c>
      <c r="H18" s="43">
        <f t="shared" si="0"/>
        <v>22401.235717112126</v>
      </c>
      <c r="I18" s="30">
        <f aca="true" t="shared" si="4" ref="I18:I26">E18-H18</f>
        <v>4480.717184244124</v>
      </c>
      <c r="J18" s="32">
        <f t="shared" si="1"/>
        <v>20.002098280771804</v>
      </c>
      <c r="K18" s="36">
        <f aca="true" t="shared" si="5" ref="K18:K31">E18-H18*1.2</f>
        <v>0.4700408216995129</v>
      </c>
      <c r="L18" s="30">
        <f aca="true" t="shared" si="6" ref="L18:L31">E18-F18</f>
        <v>2545.912301411012</v>
      </c>
      <c r="M18" s="34">
        <f t="shared" si="2"/>
        <v>10.461489373981161</v>
      </c>
      <c r="N18" s="38">
        <f aca="true" t="shared" si="7" ref="N18:N31">E18-F18*1.1</f>
        <v>112.30824141648554</v>
      </c>
    </row>
    <row r="19" spans="1:14" s="4" customFormat="1" ht="12.75" hidden="1">
      <c r="A19" s="17">
        <f t="shared" si="3"/>
        <v>2018</v>
      </c>
      <c r="B19" s="17"/>
      <c r="C19" s="43">
        <v>27133.509127497437</v>
      </c>
      <c r="D19" s="48">
        <v>0</v>
      </c>
      <c r="E19" s="43">
        <f aca="true" t="shared" si="8" ref="E19:E30">C19+D19</f>
        <v>27133.509127497437</v>
      </c>
      <c r="F19" s="43">
        <v>24606.278955403854</v>
      </c>
      <c r="G19" s="43">
        <v>1995.2014194263602</v>
      </c>
      <c r="H19" s="43">
        <f t="shared" si="0"/>
        <v>22611.077535977493</v>
      </c>
      <c r="I19" s="30">
        <f t="shared" si="4"/>
        <v>4522.431591519944</v>
      </c>
      <c r="J19" s="32">
        <f t="shared" si="1"/>
        <v>20.000955656907998</v>
      </c>
      <c r="K19" s="36">
        <f t="shared" si="5"/>
        <v>0.21608432444554637</v>
      </c>
      <c r="L19" s="30">
        <f t="shared" si="6"/>
        <v>2527.230172093583</v>
      </c>
      <c r="M19" s="34">
        <f t="shared" si="2"/>
        <v>10.270671874743462</v>
      </c>
      <c r="N19" s="38">
        <f t="shared" si="7"/>
        <v>66.60227655319613</v>
      </c>
    </row>
    <row r="20" spans="1:14" s="4" customFormat="1" ht="12.75">
      <c r="A20" s="17">
        <f t="shared" si="3"/>
        <v>2019</v>
      </c>
      <c r="B20" s="17" t="s">
        <v>15</v>
      </c>
      <c r="C20" s="43">
        <v>28551.067017858702</v>
      </c>
      <c r="D20" s="91">
        <v>0</v>
      </c>
      <c r="E20" s="43">
        <f t="shared" si="8"/>
        <v>28551.067017858702</v>
      </c>
      <c r="F20" s="43">
        <v>24893.09445872483</v>
      </c>
      <c r="G20" s="43">
        <v>2041.4456948504048</v>
      </c>
      <c r="H20" s="43">
        <f t="shared" si="0"/>
        <v>22851.648763874426</v>
      </c>
      <c r="I20" s="30">
        <f t="shared" si="4"/>
        <v>5699.418253984277</v>
      </c>
      <c r="J20" s="32">
        <f t="shared" si="1"/>
        <v>24.940949832006602</v>
      </c>
      <c r="K20" s="36">
        <f t="shared" si="5"/>
        <v>1129.0885012093931</v>
      </c>
      <c r="L20" s="30">
        <f t="shared" si="6"/>
        <v>3657.972559133872</v>
      </c>
      <c r="M20" s="34">
        <f t="shared" si="2"/>
        <v>14.694728151211356</v>
      </c>
      <c r="N20" s="38">
        <f t="shared" si="7"/>
        <v>1168.6631132613875</v>
      </c>
    </row>
    <row r="21" spans="1:14" s="4" customFormat="1" ht="12.75">
      <c r="A21" s="17">
        <f t="shared" si="3"/>
        <v>2020</v>
      </c>
      <c r="B21" s="17" t="s">
        <v>16</v>
      </c>
      <c r="C21" s="43">
        <v>27994.626565283546</v>
      </c>
      <c r="D21" s="91">
        <f aca="true" t="shared" si="9" ref="D21:D31">D20+C39+E39+K39</f>
        <v>0</v>
      </c>
      <c r="E21" s="43">
        <f t="shared" si="8"/>
        <v>27994.626565283546</v>
      </c>
      <c r="F21" s="43">
        <v>25205.928535800045</v>
      </c>
      <c r="G21" s="43">
        <v>2088.462209365558</v>
      </c>
      <c r="H21" s="43">
        <f t="shared" si="0"/>
        <v>23117.466326434485</v>
      </c>
      <c r="I21" s="30">
        <f t="shared" si="4"/>
        <v>4877.160238849061</v>
      </c>
      <c r="J21" s="32">
        <f t="shared" si="1"/>
        <v>21.09729574158436</v>
      </c>
      <c r="K21" s="36">
        <f t="shared" si="5"/>
        <v>253.66697356216537</v>
      </c>
      <c r="L21" s="30">
        <f t="shared" si="6"/>
        <v>2788.698029483501</v>
      </c>
      <c r="M21" s="34">
        <f t="shared" si="2"/>
        <v>11.06365919241065</v>
      </c>
      <c r="N21" s="38">
        <f t="shared" si="7"/>
        <v>268.10517590349264</v>
      </c>
    </row>
    <row r="22" spans="1:14" s="4" customFormat="1" ht="12.75">
      <c r="A22" s="17">
        <f t="shared" si="3"/>
        <v>2021</v>
      </c>
      <c r="B22" s="17" t="s">
        <v>14</v>
      </c>
      <c r="C22" s="43">
        <v>28141.719762651013</v>
      </c>
      <c r="D22" s="91">
        <f t="shared" si="9"/>
        <v>0</v>
      </c>
      <c r="E22" s="43">
        <f t="shared" si="8"/>
        <v>28141.719762651013</v>
      </c>
      <c r="F22" s="43">
        <v>25316.416253234296</v>
      </c>
      <c r="G22" s="43">
        <v>2136.2343409014484</v>
      </c>
      <c r="H22" s="43">
        <f t="shared" si="0"/>
        <v>23180.181912332846</v>
      </c>
      <c r="I22" s="30">
        <f t="shared" si="4"/>
        <v>4961.537850318167</v>
      </c>
      <c r="J22" s="32">
        <f t="shared" si="1"/>
        <v>21.40422309489477</v>
      </c>
      <c r="K22" s="36">
        <f t="shared" si="5"/>
        <v>325.50146785159814</v>
      </c>
      <c r="L22" s="30">
        <f t="shared" si="6"/>
        <v>2825.303509416717</v>
      </c>
      <c r="M22" s="34">
        <f t="shared" si="2"/>
        <v>11.159966249392706</v>
      </c>
      <c r="N22" s="38">
        <f t="shared" si="7"/>
        <v>293.66188409328606</v>
      </c>
    </row>
    <row r="23" spans="1:14" s="4" customFormat="1" ht="12.75">
      <c r="A23" s="17">
        <f t="shared" si="3"/>
        <v>2022</v>
      </c>
      <c r="B23" s="17" t="s">
        <v>65</v>
      </c>
      <c r="C23" s="43">
        <v>28271.816006875466</v>
      </c>
      <c r="D23" s="91">
        <f t="shared" si="9"/>
        <v>0</v>
      </c>
      <c r="E23" s="43">
        <f t="shared" si="8"/>
        <v>28271.816006875466</v>
      </c>
      <c r="F23" s="43">
        <v>25540.189209268094</v>
      </c>
      <c r="G23" s="43">
        <v>2184.7465153952003</v>
      </c>
      <c r="H23" s="43">
        <f t="shared" si="0"/>
        <v>23355.442693872894</v>
      </c>
      <c r="I23" s="30">
        <f t="shared" si="4"/>
        <v>4916.373313002572</v>
      </c>
      <c r="J23" s="32">
        <f t="shared" si="1"/>
        <v>21.0502253262463</v>
      </c>
      <c r="K23" s="36">
        <f t="shared" si="5"/>
        <v>245.2847742279955</v>
      </c>
      <c r="L23" s="30">
        <f t="shared" si="6"/>
        <v>2731.6267976073723</v>
      </c>
      <c r="M23" s="34">
        <f t="shared" si="2"/>
        <v>10.695405485156359</v>
      </c>
      <c r="N23" s="38">
        <f t="shared" si="7"/>
        <v>177.60787668056219</v>
      </c>
    </row>
    <row r="24" spans="1:14" s="4" customFormat="1" ht="12.75">
      <c r="A24" s="17">
        <f t="shared" si="3"/>
        <v>2023</v>
      </c>
      <c r="B24" s="17" t="s">
        <v>64</v>
      </c>
      <c r="C24" s="43">
        <v>28898</v>
      </c>
      <c r="D24" s="91">
        <f t="shared" si="9"/>
        <v>0</v>
      </c>
      <c r="E24" s="43">
        <f t="shared" si="8"/>
        <v>28898</v>
      </c>
      <c r="F24" s="43">
        <v>25832.903255827194</v>
      </c>
      <c r="G24" s="43">
        <v>2234.0294854316176</v>
      </c>
      <c r="H24" s="43">
        <f t="shared" si="0"/>
        <v>23598.873770395578</v>
      </c>
      <c r="I24" s="30">
        <f t="shared" si="4"/>
        <v>5299.126229604422</v>
      </c>
      <c r="J24" s="32">
        <f t="shared" si="1"/>
        <v>22.454996289916572</v>
      </c>
      <c r="K24" s="36">
        <f t="shared" si="5"/>
        <v>579.3514755253091</v>
      </c>
      <c r="L24" s="30">
        <f t="shared" si="6"/>
        <v>3065.096744172806</v>
      </c>
      <c r="M24" s="34">
        <f t="shared" si="2"/>
        <v>11.865088154508552</v>
      </c>
      <c r="N24" s="38">
        <f t="shared" si="7"/>
        <v>481.8064185900839</v>
      </c>
    </row>
    <row r="25" spans="1:14" s="4" customFormat="1" ht="13.5" thickBot="1">
      <c r="A25" s="49">
        <f t="shared" si="3"/>
        <v>2024</v>
      </c>
      <c r="B25" s="49"/>
      <c r="C25" s="50">
        <v>28895</v>
      </c>
      <c r="D25" s="95">
        <f t="shared" si="9"/>
        <v>0</v>
      </c>
      <c r="E25" s="50">
        <f t="shared" si="8"/>
        <v>28895</v>
      </c>
      <c r="F25" s="50">
        <v>26180.278517781553</v>
      </c>
      <c r="G25" s="50">
        <v>2284.18220399574</v>
      </c>
      <c r="H25" s="50">
        <f t="shared" si="0"/>
        <v>23896.096313785813</v>
      </c>
      <c r="I25" s="51">
        <f t="shared" si="4"/>
        <v>4998.9036862141875</v>
      </c>
      <c r="J25" s="52">
        <f t="shared" si="1"/>
        <v>20.91933184639153</v>
      </c>
      <c r="K25" s="53">
        <f t="shared" si="5"/>
        <v>219.68442345702715</v>
      </c>
      <c r="L25" s="51">
        <f t="shared" si="6"/>
        <v>2714.721482218447</v>
      </c>
      <c r="M25" s="54">
        <f t="shared" si="2"/>
        <v>10.369337669095529</v>
      </c>
      <c r="N25" s="55">
        <f t="shared" si="7"/>
        <v>96.69363044028796</v>
      </c>
    </row>
    <row r="26" spans="1:14" s="4" customFormat="1" ht="12.75">
      <c r="A26" s="17">
        <f t="shared" si="3"/>
        <v>2025</v>
      </c>
      <c r="B26" s="17"/>
      <c r="C26" s="43">
        <v>28892</v>
      </c>
      <c r="D26" s="91">
        <f t="shared" si="9"/>
        <v>200</v>
      </c>
      <c r="E26" s="43">
        <f t="shared" si="8"/>
        <v>29092</v>
      </c>
      <c r="F26" s="43">
        <v>26572.4560211349</v>
      </c>
      <c r="G26" s="43">
        <v>2334</v>
      </c>
      <c r="H26" s="43">
        <f t="shared" si="0"/>
        <v>24238.4560211349</v>
      </c>
      <c r="I26" s="30">
        <f t="shared" si="4"/>
        <v>4853.543978865098</v>
      </c>
      <c r="J26" s="32">
        <f t="shared" si="1"/>
        <v>20.024146647925985</v>
      </c>
      <c r="K26" s="36">
        <f t="shared" si="5"/>
        <v>5.852774638118717</v>
      </c>
      <c r="L26" s="30">
        <f t="shared" si="6"/>
        <v>2519.5439788650983</v>
      </c>
      <c r="M26" s="34">
        <f t="shared" si="2"/>
        <v>9.48178812248718</v>
      </c>
      <c r="N26" s="38">
        <f t="shared" si="7"/>
        <v>-137.70162324839475</v>
      </c>
    </row>
    <row r="27" spans="1:14" s="4" customFormat="1" ht="12.75">
      <c r="A27" s="17">
        <f t="shared" si="3"/>
        <v>2026</v>
      </c>
      <c r="B27" s="17"/>
      <c r="C27" s="43">
        <v>28889</v>
      </c>
      <c r="D27" s="91">
        <f t="shared" si="9"/>
        <v>2151</v>
      </c>
      <c r="E27" s="43">
        <f t="shared" si="8"/>
        <v>31040</v>
      </c>
      <c r="F27" s="43">
        <v>27067.6000853683</v>
      </c>
      <c r="G27" s="43">
        <v>2384</v>
      </c>
      <c r="H27" s="43">
        <f>F27-G27</f>
        <v>24683.6000853683</v>
      </c>
      <c r="I27" s="30">
        <f>E27-H27</f>
        <v>6356.3999146317</v>
      </c>
      <c r="J27" s="32">
        <f>I27/H27*100</f>
        <v>25.751510689883457</v>
      </c>
      <c r="K27" s="36">
        <f t="shared" si="5"/>
        <v>1419.6798975580423</v>
      </c>
      <c r="L27" s="30">
        <f t="shared" si="6"/>
        <v>3972.3999146317</v>
      </c>
      <c r="M27" s="34">
        <f t="shared" si="2"/>
        <v>14.675848254382279</v>
      </c>
      <c r="N27" s="38">
        <f t="shared" si="7"/>
        <v>1265.639906094868</v>
      </c>
    </row>
    <row r="28" spans="1:14" s="4" customFormat="1" ht="12.75">
      <c r="A28" s="17">
        <f t="shared" si="3"/>
        <v>2027</v>
      </c>
      <c r="B28" s="17"/>
      <c r="C28" s="43">
        <v>28883</v>
      </c>
      <c r="D28" s="91">
        <f t="shared" si="9"/>
        <v>2351</v>
      </c>
      <c r="E28" s="43">
        <f t="shared" si="8"/>
        <v>31234</v>
      </c>
      <c r="F28" s="43">
        <v>27665.21915802903</v>
      </c>
      <c r="G28" s="43">
        <v>2434</v>
      </c>
      <c r="H28" s="43">
        <f>F28-G28</f>
        <v>25231.21915802903</v>
      </c>
      <c r="I28" s="30">
        <f>E28-H28</f>
        <v>6002.780841970969</v>
      </c>
      <c r="J28" s="32">
        <f>I28/H28*100</f>
        <v>23.791085180522384</v>
      </c>
      <c r="K28" s="36">
        <f t="shared" si="5"/>
        <v>956.5370103651658</v>
      </c>
      <c r="L28" s="30">
        <f t="shared" si="6"/>
        <v>3568.780841970969</v>
      </c>
      <c r="M28" s="34">
        <f t="shared" si="2"/>
        <v>12.899882779114849</v>
      </c>
      <c r="N28" s="38">
        <f t="shared" si="7"/>
        <v>802.2589261680623</v>
      </c>
    </row>
    <row r="29" spans="1:14" s="4" customFormat="1" ht="12.75">
      <c r="A29" s="17">
        <f t="shared" si="3"/>
        <v>2028</v>
      </c>
      <c r="B29" s="17"/>
      <c r="C29" s="43">
        <v>28880</v>
      </c>
      <c r="D29" s="91">
        <f t="shared" si="9"/>
        <v>2551</v>
      </c>
      <c r="E29" s="43">
        <f t="shared" si="8"/>
        <v>31431</v>
      </c>
      <c r="F29" s="43">
        <v>28224.724306714037</v>
      </c>
      <c r="G29" s="43">
        <v>2484</v>
      </c>
      <c r="H29" s="43">
        <f>F29-G29</f>
        <v>25740.724306714037</v>
      </c>
      <c r="I29" s="30">
        <f>E29-H29</f>
        <v>5690.275693285963</v>
      </c>
      <c r="J29" s="32">
        <f>I29/H29*100</f>
        <v>22.10612112341279</v>
      </c>
      <c r="K29" s="36">
        <f t="shared" si="5"/>
        <v>542.1308319431555</v>
      </c>
      <c r="L29" s="30">
        <f t="shared" si="6"/>
        <v>3206.275693285963</v>
      </c>
      <c r="M29" s="34">
        <f t="shared" si="2"/>
        <v>11.359812264041356</v>
      </c>
      <c r="N29" s="38">
        <f t="shared" si="7"/>
        <v>383.80326261455775</v>
      </c>
    </row>
    <row r="30" spans="1:14" s="4" customFormat="1" ht="12.75">
      <c r="A30" s="17">
        <f t="shared" si="3"/>
        <v>2029</v>
      </c>
      <c r="B30" s="13"/>
      <c r="C30" s="43">
        <v>28878</v>
      </c>
      <c r="D30" s="91">
        <f t="shared" si="9"/>
        <v>2751</v>
      </c>
      <c r="E30" s="43">
        <f t="shared" si="8"/>
        <v>31629</v>
      </c>
      <c r="F30" s="43">
        <v>28804.814369193406</v>
      </c>
      <c r="G30" s="43">
        <v>2534</v>
      </c>
      <c r="H30" s="43">
        <f>F30-G30</f>
        <v>26270.814369193406</v>
      </c>
      <c r="I30" s="30">
        <f>E30-H30</f>
        <v>5358.185630806594</v>
      </c>
      <c r="J30" s="32">
        <f>I30/H30*100</f>
        <v>20.395963198955478</v>
      </c>
      <c r="K30" s="36">
        <f t="shared" si="5"/>
        <v>104.02275696791548</v>
      </c>
      <c r="L30" s="30">
        <f t="shared" si="6"/>
        <v>2824.1856308065944</v>
      </c>
      <c r="M30" s="34">
        <f t="shared" si="2"/>
        <v>9.804561121654183</v>
      </c>
      <c r="N30" s="38">
        <f t="shared" si="7"/>
        <v>-56.29580611275014</v>
      </c>
    </row>
    <row r="31" spans="1:14" s="4" customFormat="1" ht="12.75">
      <c r="A31" s="18">
        <f t="shared" si="3"/>
        <v>2030</v>
      </c>
      <c r="B31" s="18"/>
      <c r="C31" s="44">
        <v>28875</v>
      </c>
      <c r="D31" s="92">
        <f t="shared" si="9"/>
        <v>4702</v>
      </c>
      <c r="E31" s="44">
        <f>C31+D31</f>
        <v>33577</v>
      </c>
      <c r="F31" s="44">
        <v>29397.66178369829</v>
      </c>
      <c r="G31" s="44">
        <v>2584</v>
      </c>
      <c r="H31" s="44">
        <f>F31-G31</f>
        <v>26813.66178369829</v>
      </c>
      <c r="I31" s="31">
        <f>E31-H31</f>
        <v>6763.338216301709</v>
      </c>
      <c r="J31" s="33">
        <f>I31/H31*100</f>
        <v>25.223478504579212</v>
      </c>
      <c r="K31" s="37">
        <f t="shared" si="5"/>
        <v>1400.6058595620525</v>
      </c>
      <c r="L31" s="31">
        <f t="shared" si="6"/>
        <v>4179.338216301709</v>
      </c>
      <c r="M31" s="35">
        <f t="shared" si="2"/>
        <v>14.216566770011795</v>
      </c>
      <c r="N31" s="39">
        <f t="shared" si="7"/>
        <v>1239.5720379318773</v>
      </c>
    </row>
    <row r="32" spans="1:4" ht="12" customHeight="1">
      <c r="A32" s="5"/>
      <c r="B32" s="5" t="s">
        <v>66</v>
      </c>
      <c r="C32" s="5"/>
      <c r="D32" s="5"/>
    </row>
    <row r="33" spans="1:11" ht="12.75">
      <c r="A33" s="6"/>
      <c r="B33" s="6"/>
      <c r="C33" s="6"/>
      <c r="D33" s="6"/>
      <c r="E33" s="4"/>
      <c r="F33" s="4"/>
      <c r="G33" s="4"/>
      <c r="H33" s="4"/>
      <c r="I33" s="4"/>
      <c r="J33" s="4"/>
      <c r="K33" s="4"/>
    </row>
    <row r="34" spans="1:4" ht="12.75">
      <c r="A34" s="2"/>
      <c r="B34" s="2"/>
      <c r="C34" s="2"/>
      <c r="D34" s="2"/>
    </row>
    <row r="35" spans="1:11" ht="15.75">
      <c r="A35" s="93"/>
      <c r="B35" s="108" t="s">
        <v>57</v>
      </c>
      <c r="C35" s="109"/>
      <c r="D35" s="109"/>
      <c r="E35" s="110"/>
      <c r="H35" s="71"/>
      <c r="I35" s="71"/>
      <c r="J35" s="72" t="s">
        <v>40</v>
      </c>
      <c r="K35" s="71"/>
    </row>
    <row r="36" spans="1:11" ht="15">
      <c r="A36" s="93"/>
      <c r="B36" s="56"/>
      <c r="C36" s="57" t="s">
        <v>33</v>
      </c>
      <c r="D36" s="57" t="s">
        <v>34</v>
      </c>
      <c r="E36" s="58"/>
      <c r="H36" s="98" t="s">
        <v>41</v>
      </c>
      <c r="I36" s="73" t="s">
        <v>42</v>
      </c>
      <c r="J36" s="73" t="s">
        <v>43</v>
      </c>
      <c r="K36" s="73" t="s">
        <v>44</v>
      </c>
    </row>
    <row r="37" spans="1:11" ht="15">
      <c r="A37" s="93"/>
      <c r="B37" s="59"/>
      <c r="C37" s="60" t="s">
        <v>35</v>
      </c>
      <c r="D37" s="60" t="s">
        <v>35</v>
      </c>
      <c r="E37" s="61" t="s">
        <v>36</v>
      </c>
      <c r="H37" s="98" t="s">
        <v>45</v>
      </c>
      <c r="I37" s="73" t="s">
        <v>8</v>
      </c>
      <c r="J37" s="73" t="s">
        <v>46</v>
      </c>
      <c r="K37" s="73" t="s">
        <v>47</v>
      </c>
    </row>
    <row r="38" spans="1:5" ht="15">
      <c r="A38" s="9"/>
      <c r="B38" s="62" t="s">
        <v>5</v>
      </c>
      <c r="C38" s="63" t="s">
        <v>8</v>
      </c>
      <c r="D38" s="63" t="s">
        <v>8</v>
      </c>
      <c r="E38" s="61" t="s">
        <v>8</v>
      </c>
    </row>
    <row r="39" spans="1:11" ht="12.75">
      <c r="A39" s="9"/>
      <c r="B39" s="70">
        <v>2020</v>
      </c>
      <c r="C39" s="64">
        <v>0</v>
      </c>
      <c r="D39" s="64">
        <v>0</v>
      </c>
      <c r="E39" s="64">
        <v>0</v>
      </c>
      <c r="H39" s="79">
        <v>1700</v>
      </c>
      <c r="I39" s="75">
        <f>H39+D39</f>
        <v>1700</v>
      </c>
      <c r="J39" s="78">
        <v>0.41</v>
      </c>
      <c r="K39" s="76">
        <f>D39*J39</f>
        <v>0</v>
      </c>
    </row>
    <row r="40" spans="1:11" ht="12.75">
      <c r="A40" s="9"/>
      <c r="B40" s="70">
        <v>2021</v>
      </c>
      <c r="C40" s="64">
        <v>0</v>
      </c>
      <c r="D40" s="64">
        <v>0</v>
      </c>
      <c r="E40" s="64">
        <v>0</v>
      </c>
      <c r="H40" s="74"/>
      <c r="I40" s="75">
        <f>I39+D40</f>
        <v>1700</v>
      </c>
      <c r="J40" s="78">
        <v>0.41</v>
      </c>
      <c r="K40" s="76">
        <f aca="true" t="shared" si="10" ref="K40:K49">D40*J40</f>
        <v>0</v>
      </c>
    </row>
    <row r="41" spans="1:11" ht="12.75">
      <c r="A41" s="9"/>
      <c r="B41" s="70">
        <v>2022</v>
      </c>
      <c r="C41" s="64">
        <v>0</v>
      </c>
      <c r="D41" s="64">
        <v>0</v>
      </c>
      <c r="E41" s="64">
        <v>0</v>
      </c>
      <c r="H41" s="74"/>
      <c r="I41" s="75">
        <f aca="true" t="shared" si="11" ref="I41:I49">I40+D41</f>
        <v>1700</v>
      </c>
      <c r="J41" s="78">
        <v>0.41</v>
      </c>
      <c r="K41" s="76">
        <f t="shared" si="10"/>
        <v>0</v>
      </c>
    </row>
    <row r="42" spans="1:11" ht="12.75">
      <c r="A42" s="9"/>
      <c r="B42" s="70">
        <v>2023</v>
      </c>
      <c r="C42" s="64">
        <v>0</v>
      </c>
      <c r="D42" s="64">
        <v>0</v>
      </c>
      <c r="E42" s="64">
        <v>0</v>
      </c>
      <c r="H42" s="74"/>
      <c r="I42" s="75">
        <f t="shared" si="11"/>
        <v>1700</v>
      </c>
      <c r="J42" s="78">
        <v>0.41</v>
      </c>
      <c r="K42" s="76">
        <f t="shared" si="10"/>
        <v>0</v>
      </c>
    </row>
    <row r="43" spans="2:11" ht="12.75">
      <c r="B43" s="70">
        <v>2024</v>
      </c>
      <c r="C43" s="64">
        <v>0</v>
      </c>
      <c r="D43" s="64">
        <v>0</v>
      </c>
      <c r="E43" s="64">
        <v>0</v>
      </c>
      <c r="H43" s="74"/>
      <c r="I43" s="75">
        <f t="shared" si="11"/>
        <v>1700</v>
      </c>
      <c r="J43" s="78">
        <v>0.41</v>
      </c>
      <c r="K43" s="76">
        <f t="shared" si="10"/>
        <v>0</v>
      </c>
    </row>
    <row r="44" spans="2:11" ht="12.75">
      <c r="B44" s="70">
        <v>2025</v>
      </c>
      <c r="C44" s="64">
        <v>200</v>
      </c>
      <c r="D44" s="64">
        <v>0</v>
      </c>
      <c r="E44" s="64">
        <v>0</v>
      </c>
      <c r="H44" s="74"/>
      <c r="I44" s="75">
        <f t="shared" si="11"/>
        <v>1700</v>
      </c>
      <c r="J44" s="78">
        <v>0.41</v>
      </c>
      <c r="K44" s="76">
        <f t="shared" si="10"/>
        <v>0</v>
      </c>
    </row>
    <row r="45" spans="2:11" ht="12.75">
      <c r="B45" s="70">
        <v>2026</v>
      </c>
      <c r="C45" s="64">
        <v>200</v>
      </c>
      <c r="D45" s="64">
        <v>0</v>
      </c>
      <c r="E45" s="64">
        <v>1751</v>
      </c>
      <c r="H45" s="74"/>
      <c r="I45" s="75">
        <f t="shared" si="11"/>
        <v>1700</v>
      </c>
      <c r="J45" s="78">
        <v>0.41</v>
      </c>
      <c r="K45" s="76">
        <f t="shared" si="10"/>
        <v>0</v>
      </c>
    </row>
    <row r="46" spans="2:11" ht="12.75">
      <c r="B46" s="70">
        <v>2027</v>
      </c>
      <c r="C46" s="64">
        <v>200</v>
      </c>
      <c r="D46" s="64">
        <v>0</v>
      </c>
      <c r="E46" s="64">
        <v>0</v>
      </c>
      <c r="H46" s="74"/>
      <c r="I46" s="75">
        <f t="shared" si="11"/>
        <v>1700</v>
      </c>
      <c r="J46" s="78">
        <v>0.41</v>
      </c>
      <c r="K46" s="76">
        <f t="shared" si="10"/>
        <v>0</v>
      </c>
    </row>
    <row r="47" spans="2:11" ht="12.75">
      <c r="B47" s="70">
        <v>2028</v>
      </c>
      <c r="C47" s="64">
        <v>200</v>
      </c>
      <c r="D47" s="64">
        <v>0</v>
      </c>
      <c r="E47" s="64">
        <v>0</v>
      </c>
      <c r="H47" s="74"/>
      <c r="I47" s="75">
        <f t="shared" si="11"/>
        <v>1700</v>
      </c>
      <c r="J47" s="78">
        <v>0.41</v>
      </c>
      <c r="K47" s="76">
        <f t="shared" si="10"/>
        <v>0</v>
      </c>
    </row>
    <row r="48" spans="2:11" ht="12.75">
      <c r="B48" s="70">
        <v>2029</v>
      </c>
      <c r="C48" s="64">
        <v>200</v>
      </c>
      <c r="D48" s="64">
        <v>0</v>
      </c>
      <c r="E48" s="64">
        <v>0</v>
      </c>
      <c r="H48" s="74"/>
      <c r="I48" s="75">
        <f t="shared" si="11"/>
        <v>1700</v>
      </c>
      <c r="J48" s="78">
        <v>0.41</v>
      </c>
      <c r="K48" s="76">
        <f t="shared" si="10"/>
        <v>0</v>
      </c>
    </row>
    <row r="49" spans="2:11" ht="12.75">
      <c r="B49" s="70">
        <v>2030</v>
      </c>
      <c r="C49" s="64">
        <v>200</v>
      </c>
      <c r="D49" s="64">
        <v>0</v>
      </c>
      <c r="E49" s="64">
        <v>1751</v>
      </c>
      <c r="H49" s="74"/>
      <c r="I49" s="75">
        <f t="shared" si="11"/>
        <v>1700</v>
      </c>
      <c r="J49" s="78">
        <v>0.41</v>
      </c>
      <c r="K49" s="76">
        <f t="shared" si="10"/>
        <v>0</v>
      </c>
    </row>
    <row r="50" spans="2:11" ht="28.5" customHeight="1">
      <c r="B50" s="65" t="s">
        <v>37</v>
      </c>
      <c r="C50" s="66">
        <f>SUM(C39:C49)</f>
        <v>1200</v>
      </c>
      <c r="D50" s="66">
        <f>SUM(D39:D49)</f>
        <v>0</v>
      </c>
      <c r="E50" s="66">
        <f>SUM(E39:E49)</f>
        <v>3502</v>
      </c>
      <c r="H50" s="74"/>
      <c r="I50" s="74"/>
      <c r="J50" s="74"/>
      <c r="K50" s="99">
        <f>SUM(K39:K49)</f>
        <v>0</v>
      </c>
    </row>
    <row r="51" spans="2:5" ht="15">
      <c r="B51" s="67" t="s">
        <v>38</v>
      </c>
      <c r="C51" s="66">
        <f>C50</f>
        <v>1200</v>
      </c>
      <c r="D51" s="100">
        <f>K50</f>
        <v>0</v>
      </c>
      <c r="E51" s="66">
        <f>E50</f>
        <v>3502</v>
      </c>
    </row>
    <row r="52" spans="2:5" ht="30">
      <c r="B52" s="67" t="s">
        <v>39</v>
      </c>
      <c r="C52" s="66">
        <f>SUM(C51:E51)</f>
        <v>4702</v>
      </c>
      <c r="D52" s="69"/>
      <c r="E52" s="69"/>
    </row>
    <row r="55" spans="2:7" ht="15">
      <c r="B55" s="80" t="s">
        <v>48</v>
      </c>
      <c r="C55" s="81"/>
      <c r="D55" s="81"/>
      <c r="E55" s="81"/>
      <c r="F55" s="81"/>
      <c r="G55" s="82"/>
    </row>
    <row r="56" spans="2:7" ht="12.75">
      <c r="B56" s="83"/>
      <c r="C56" s="84"/>
      <c r="D56" s="84"/>
      <c r="E56" s="84"/>
      <c r="F56" s="84"/>
      <c r="G56" s="85"/>
    </row>
    <row r="57" spans="2:7" ht="12.75">
      <c r="B57" s="83" t="s">
        <v>49</v>
      </c>
      <c r="C57" s="84"/>
      <c r="D57" s="86">
        <v>0.52</v>
      </c>
      <c r="E57" s="84"/>
      <c r="F57" s="84"/>
      <c r="G57" s="85"/>
    </row>
    <row r="58" spans="2:7" ht="12.75">
      <c r="B58" s="83" t="s">
        <v>50</v>
      </c>
      <c r="C58" s="84"/>
      <c r="D58" s="86">
        <v>0.48</v>
      </c>
      <c r="E58" s="84"/>
      <c r="F58" s="84"/>
      <c r="G58" s="85"/>
    </row>
    <row r="59" spans="2:7" ht="12.75">
      <c r="B59" s="83" t="s">
        <v>51</v>
      </c>
      <c r="C59" s="84"/>
      <c r="D59" s="86">
        <v>0.44</v>
      </c>
      <c r="E59" s="84"/>
      <c r="F59" s="84"/>
      <c r="G59" s="85"/>
    </row>
    <row r="60" spans="2:7" ht="12.75">
      <c r="B60" s="83" t="s">
        <v>52</v>
      </c>
      <c r="C60" s="84"/>
      <c r="D60" s="86">
        <v>0.41</v>
      </c>
      <c r="E60" s="84"/>
      <c r="F60" s="84"/>
      <c r="G60" s="85"/>
    </row>
    <row r="61" spans="2:7" ht="12.75">
      <c r="B61" s="83" t="s">
        <v>53</v>
      </c>
      <c r="C61" s="84"/>
      <c r="D61" s="86">
        <v>0.37</v>
      </c>
      <c r="E61" s="84"/>
      <c r="F61" s="84"/>
      <c r="G61" s="85"/>
    </row>
    <row r="62" spans="2:7" ht="12.75">
      <c r="B62" s="87" t="s">
        <v>54</v>
      </c>
      <c r="C62" s="88"/>
      <c r="D62" s="89">
        <v>0.33</v>
      </c>
      <c r="E62" s="88"/>
      <c r="F62" s="88"/>
      <c r="G62" s="90"/>
    </row>
  </sheetData>
  <sheetProtection/>
  <mergeCells count="11">
    <mergeCell ref="A6:N6"/>
    <mergeCell ref="A7:N7"/>
    <mergeCell ref="I11:K11"/>
    <mergeCell ref="L11:N11"/>
    <mergeCell ref="I12:J12"/>
    <mergeCell ref="L12:M12"/>
    <mergeCell ref="I13:J13"/>
    <mergeCell ref="L13:M13"/>
    <mergeCell ref="I14:J14"/>
    <mergeCell ref="L14:M14"/>
    <mergeCell ref="B35:E35"/>
  </mergeCells>
  <conditionalFormatting sqref="N20:N31">
    <cfRule type="cellIs" priority="3" dxfId="18" operator="lessThan" stopIfTrue="1">
      <formula>0</formula>
    </cfRule>
  </conditionalFormatting>
  <conditionalFormatting sqref="C39:E49">
    <cfRule type="cellIs" priority="2" dxfId="0" operator="greaterThan" stopIfTrue="1">
      <formula>0</formula>
    </cfRule>
  </conditionalFormatting>
  <conditionalFormatting sqref="K39:K49">
    <cfRule type="cellIs" priority="1" dxfId="19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 transitionEvaluation="1" transitionEntry="1">
    <tabColor theme="3" tint="0.39998000860214233"/>
  </sheetPr>
  <dimension ref="A3:N62"/>
  <sheetViews>
    <sheetView showGridLines="0" zoomScalePageLayoutView="0" workbookViewId="0" topLeftCell="A1">
      <selection activeCell="A1" sqref="A1:IV2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3" spans="2:14" ht="12.75">
      <c r="B3" s="42" t="s">
        <v>29</v>
      </c>
      <c r="C3" s="42"/>
      <c r="D3" s="42"/>
      <c r="N3" s="41" t="s">
        <v>31</v>
      </c>
    </row>
    <row r="4" spans="2:14" ht="13.5">
      <c r="B4" s="96" t="s">
        <v>58</v>
      </c>
      <c r="C4" s="94"/>
      <c r="D4" s="94"/>
      <c r="N4" s="1" t="s">
        <v>30</v>
      </c>
    </row>
    <row r="5" spans="2:14" ht="12.75">
      <c r="B5" s="97" t="str">
        <f>B35</f>
        <v>Plan 3: Solar Only (Small &amp; Large Solar)</v>
      </c>
      <c r="C5" s="94"/>
      <c r="D5" s="94"/>
      <c r="N5" s="1"/>
    </row>
    <row r="6" spans="1:14" ht="15.75">
      <c r="A6" s="111" t="s">
        <v>26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15.75">
      <c r="A7" s="111" t="s">
        <v>27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4" ht="12.75">
      <c r="A8" s="2"/>
      <c r="B8" s="2"/>
      <c r="C8" s="2"/>
      <c r="D8" s="2"/>
    </row>
    <row r="9" spans="1:14" ht="12.75">
      <c r="A9" s="3">
        <v>-1</v>
      </c>
      <c r="B9" s="3">
        <v>-2</v>
      </c>
      <c r="C9" s="3">
        <v>-3</v>
      </c>
      <c r="D9" s="3">
        <v>-4</v>
      </c>
      <c r="E9" s="3">
        <v>-5</v>
      </c>
      <c r="F9" s="3">
        <v>-6</v>
      </c>
      <c r="G9" s="3">
        <v>-7</v>
      </c>
      <c r="H9" s="3">
        <v>-8</v>
      </c>
      <c r="I9" s="3">
        <v>-9</v>
      </c>
      <c r="J9" s="3">
        <v>-10</v>
      </c>
      <c r="K9" s="3">
        <v>-11</v>
      </c>
      <c r="L9" s="3">
        <v>-12</v>
      </c>
      <c r="M9" s="3">
        <v>-13</v>
      </c>
      <c r="N9" s="40">
        <v>-14</v>
      </c>
    </row>
    <row r="10" spans="1:14" ht="12.75" hidden="1">
      <c r="A10" s="3">
        <v>-1</v>
      </c>
      <c r="B10" s="3">
        <v>-2</v>
      </c>
      <c r="C10" s="3"/>
      <c r="D10" s="3"/>
      <c r="E10" s="3">
        <v>-3</v>
      </c>
      <c r="F10" s="3">
        <v>-4</v>
      </c>
      <c r="G10" s="3">
        <v>-5</v>
      </c>
      <c r="H10" s="3">
        <v>-6</v>
      </c>
      <c r="I10" s="3">
        <v>-7</v>
      </c>
      <c r="J10" s="3">
        <v>-8</v>
      </c>
      <c r="K10" s="3">
        <v>-9</v>
      </c>
      <c r="L10" s="3">
        <v>-10</v>
      </c>
      <c r="M10" s="3">
        <v>-11</v>
      </c>
      <c r="N10" s="40">
        <v>-12</v>
      </c>
    </row>
    <row r="11" spans="1:14" ht="12.75">
      <c r="A11" s="19"/>
      <c r="B11" s="16"/>
      <c r="C11" s="12"/>
      <c r="D11" s="45"/>
      <c r="E11" s="12"/>
      <c r="F11" s="15"/>
      <c r="G11" s="12"/>
      <c r="H11" s="12"/>
      <c r="I11" s="112" t="s">
        <v>18</v>
      </c>
      <c r="J11" s="113"/>
      <c r="K11" s="114"/>
      <c r="L11" s="115" t="s">
        <v>24</v>
      </c>
      <c r="M11" s="116"/>
      <c r="N11" s="117"/>
    </row>
    <row r="12" spans="1:14" ht="12.75">
      <c r="A12" s="14"/>
      <c r="B12" s="14"/>
      <c r="C12" s="13" t="s">
        <v>7</v>
      </c>
      <c r="D12" s="46" t="s">
        <v>28</v>
      </c>
      <c r="E12" s="13" t="s">
        <v>7</v>
      </c>
      <c r="F12" s="14"/>
      <c r="G12" s="14"/>
      <c r="H12" s="13" t="s">
        <v>10</v>
      </c>
      <c r="I12" s="102"/>
      <c r="J12" s="103"/>
      <c r="K12" s="8" t="s">
        <v>19</v>
      </c>
      <c r="L12" s="102"/>
      <c r="M12" s="103"/>
      <c r="N12" s="8" t="s">
        <v>19</v>
      </c>
    </row>
    <row r="13" spans="1:14" ht="12.75">
      <c r="A13" s="14"/>
      <c r="B13" s="14"/>
      <c r="C13" s="14" t="s">
        <v>10</v>
      </c>
      <c r="D13" s="46" t="s">
        <v>10</v>
      </c>
      <c r="E13" s="14" t="s">
        <v>10</v>
      </c>
      <c r="F13" s="13" t="s">
        <v>7</v>
      </c>
      <c r="G13" s="14"/>
      <c r="H13" s="13" t="s">
        <v>0</v>
      </c>
      <c r="I13" s="104"/>
      <c r="J13" s="105"/>
      <c r="K13" s="9" t="s">
        <v>20</v>
      </c>
      <c r="L13" s="104"/>
      <c r="M13" s="105"/>
      <c r="N13" s="9" t="s">
        <v>20</v>
      </c>
    </row>
    <row r="14" spans="1:14" ht="15.75" customHeight="1">
      <c r="A14" s="14"/>
      <c r="B14" s="14"/>
      <c r="C14" s="13" t="s">
        <v>4</v>
      </c>
      <c r="D14" s="46" t="s">
        <v>4</v>
      </c>
      <c r="E14" s="13" t="s">
        <v>4</v>
      </c>
      <c r="F14" s="13" t="s">
        <v>1</v>
      </c>
      <c r="G14" s="13"/>
      <c r="H14" s="13" t="s">
        <v>1</v>
      </c>
      <c r="I14" s="104"/>
      <c r="J14" s="105"/>
      <c r="K14" s="10" t="s">
        <v>21</v>
      </c>
      <c r="L14" s="106"/>
      <c r="M14" s="107"/>
      <c r="N14" s="10" t="s">
        <v>21</v>
      </c>
    </row>
    <row r="15" spans="1:14" ht="15" customHeight="1">
      <c r="A15" s="14"/>
      <c r="B15" s="14" t="s">
        <v>6</v>
      </c>
      <c r="C15" s="13" t="s">
        <v>11</v>
      </c>
      <c r="D15" s="46" t="s">
        <v>3</v>
      </c>
      <c r="E15" s="13" t="s">
        <v>11</v>
      </c>
      <c r="F15" s="13" t="s">
        <v>12</v>
      </c>
      <c r="G15" s="13" t="s">
        <v>2</v>
      </c>
      <c r="H15" s="14" t="s">
        <v>12</v>
      </c>
      <c r="I15" s="27" t="s">
        <v>25</v>
      </c>
      <c r="J15" s="28"/>
      <c r="K15" s="11" t="s">
        <v>22</v>
      </c>
      <c r="L15" s="26" t="s">
        <v>25</v>
      </c>
      <c r="M15" s="29"/>
      <c r="N15" s="11" t="s">
        <v>23</v>
      </c>
    </row>
    <row r="16" spans="1:14" ht="12.75">
      <c r="A16" s="20" t="s">
        <v>5</v>
      </c>
      <c r="B16" s="20" t="s">
        <v>3</v>
      </c>
      <c r="C16" s="20" t="s">
        <v>8</v>
      </c>
      <c r="D16" s="47" t="s">
        <v>8</v>
      </c>
      <c r="E16" s="20" t="s">
        <v>8</v>
      </c>
      <c r="F16" s="20" t="s">
        <v>8</v>
      </c>
      <c r="G16" s="20" t="s">
        <v>8</v>
      </c>
      <c r="H16" s="20" t="s">
        <v>8</v>
      </c>
      <c r="I16" s="21" t="s">
        <v>8</v>
      </c>
      <c r="J16" s="22" t="s">
        <v>9</v>
      </c>
      <c r="K16" s="23" t="s">
        <v>8</v>
      </c>
      <c r="L16" s="24" t="s">
        <v>13</v>
      </c>
      <c r="M16" s="25" t="s">
        <v>17</v>
      </c>
      <c r="N16" s="23" t="s">
        <v>8</v>
      </c>
    </row>
    <row r="17" spans="1:14" s="4" customFormat="1" ht="12.75" hidden="1">
      <c r="A17" s="17">
        <v>2016</v>
      </c>
      <c r="B17" s="17"/>
      <c r="C17" s="43">
        <v>27238.0286375</v>
      </c>
      <c r="D17" s="48">
        <v>0</v>
      </c>
      <c r="E17" s="43">
        <f>C17+D17</f>
        <v>27238.0286375</v>
      </c>
      <c r="F17" s="43">
        <v>24169.686546596025</v>
      </c>
      <c r="G17" s="43">
        <v>1842.4666740400107</v>
      </c>
      <c r="H17" s="43">
        <f aca="true" t="shared" si="0" ref="H17:H26">F17-G17</f>
        <v>22327.219872556016</v>
      </c>
      <c r="I17" s="30">
        <f>E17-H17</f>
        <v>4910.808764943984</v>
      </c>
      <c r="J17" s="32">
        <f aca="true" t="shared" si="1" ref="J17:J26">I17/H17*100</f>
        <v>21.994716731303438</v>
      </c>
      <c r="K17" s="36">
        <f>E17-H17*1.2</f>
        <v>445.36479043278086</v>
      </c>
      <c r="L17" s="30">
        <f>E17-F17</f>
        <v>3068.342090903974</v>
      </c>
      <c r="M17" s="34">
        <f aca="true" t="shared" si="2" ref="M17:M31">L17/F17*100</f>
        <v>12.695001587995804</v>
      </c>
      <c r="N17" s="38">
        <f>E17-F17*1.1</f>
        <v>651.3734362443683</v>
      </c>
    </row>
    <row r="18" spans="1:14" s="4" customFormat="1" ht="12.75" hidden="1">
      <c r="A18" s="17">
        <f aca="true" t="shared" si="3" ref="A18:A31">A17+1</f>
        <v>2017</v>
      </c>
      <c r="B18" s="17"/>
      <c r="C18" s="43">
        <v>26881.95290135625</v>
      </c>
      <c r="D18" s="48">
        <v>0</v>
      </c>
      <c r="E18" s="43">
        <f>C18+D18</f>
        <v>26881.95290135625</v>
      </c>
      <c r="F18" s="43">
        <v>24336.040599945238</v>
      </c>
      <c r="G18" s="43">
        <v>1934.8048828331127</v>
      </c>
      <c r="H18" s="43">
        <f t="shared" si="0"/>
        <v>22401.235717112126</v>
      </c>
      <c r="I18" s="30">
        <f aca="true" t="shared" si="4" ref="I18:I26">E18-H18</f>
        <v>4480.717184244124</v>
      </c>
      <c r="J18" s="32">
        <f t="shared" si="1"/>
        <v>20.002098280771804</v>
      </c>
      <c r="K18" s="36">
        <f aca="true" t="shared" si="5" ref="K18:K31">E18-H18*1.2</f>
        <v>0.4700408216995129</v>
      </c>
      <c r="L18" s="30">
        <f aca="true" t="shared" si="6" ref="L18:L31">E18-F18</f>
        <v>2545.912301411012</v>
      </c>
      <c r="M18" s="34">
        <f t="shared" si="2"/>
        <v>10.461489373981161</v>
      </c>
      <c r="N18" s="38">
        <f aca="true" t="shared" si="7" ref="N18:N31">E18-F18*1.1</f>
        <v>112.30824141648554</v>
      </c>
    </row>
    <row r="19" spans="1:14" s="4" customFormat="1" ht="12.75" hidden="1">
      <c r="A19" s="17">
        <f t="shared" si="3"/>
        <v>2018</v>
      </c>
      <c r="B19" s="17"/>
      <c r="C19" s="43">
        <v>27133.509127497437</v>
      </c>
      <c r="D19" s="48">
        <v>0</v>
      </c>
      <c r="E19" s="43">
        <f aca="true" t="shared" si="8" ref="E19:E30">C19+D19</f>
        <v>27133.509127497437</v>
      </c>
      <c r="F19" s="43">
        <v>24606.278955403854</v>
      </c>
      <c r="G19" s="43">
        <v>1995.2014194263602</v>
      </c>
      <c r="H19" s="43">
        <f t="shared" si="0"/>
        <v>22611.077535977493</v>
      </c>
      <c r="I19" s="30">
        <f t="shared" si="4"/>
        <v>4522.431591519944</v>
      </c>
      <c r="J19" s="32">
        <f t="shared" si="1"/>
        <v>20.000955656907998</v>
      </c>
      <c r="K19" s="36">
        <f t="shared" si="5"/>
        <v>0.21608432444554637</v>
      </c>
      <c r="L19" s="30">
        <f t="shared" si="6"/>
        <v>2527.230172093583</v>
      </c>
      <c r="M19" s="34">
        <f t="shared" si="2"/>
        <v>10.270671874743462</v>
      </c>
      <c r="N19" s="38">
        <f t="shared" si="7"/>
        <v>66.60227655319613</v>
      </c>
    </row>
    <row r="20" spans="1:14" s="4" customFormat="1" ht="12.75">
      <c r="A20" s="17">
        <f t="shared" si="3"/>
        <v>2019</v>
      </c>
      <c r="B20" s="17" t="s">
        <v>15</v>
      </c>
      <c r="C20" s="43">
        <v>28551.067017858702</v>
      </c>
      <c r="D20" s="91">
        <v>0</v>
      </c>
      <c r="E20" s="43">
        <f t="shared" si="8"/>
        <v>28551.067017858702</v>
      </c>
      <c r="F20" s="43">
        <v>24893.09445872483</v>
      </c>
      <c r="G20" s="43">
        <v>2041.4456948504048</v>
      </c>
      <c r="H20" s="43">
        <f t="shared" si="0"/>
        <v>22851.648763874426</v>
      </c>
      <c r="I20" s="30">
        <f t="shared" si="4"/>
        <v>5699.418253984277</v>
      </c>
      <c r="J20" s="32">
        <f t="shared" si="1"/>
        <v>24.940949832006602</v>
      </c>
      <c r="K20" s="36">
        <f t="shared" si="5"/>
        <v>1129.0885012093931</v>
      </c>
      <c r="L20" s="30">
        <f t="shared" si="6"/>
        <v>3657.972559133872</v>
      </c>
      <c r="M20" s="34">
        <f t="shared" si="2"/>
        <v>14.694728151211356</v>
      </c>
      <c r="N20" s="38">
        <f t="shared" si="7"/>
        <v>1168.6631132613875</v>
      </c>
    </row>
    <row r="21" spans="1:14" s="4" customFormat="1" ht="12.75">
      <c r="A21" s="17">
        <f t="shared" si="3"/>
        <v>2020</v>
      </c>
      <c r="B21" s="17" t="s">
        <v>16</v>
      </c>
      <c r="C21" s="43">
        <v>27994.626565283546</v>
      </c>
      <c r="D21" s="91">
        <f aca="true" t="shared" si="9" ref="D21:D31">D20+C39+E39+K39</f>
        <v>20.5</v>
      </c>
      <c r="E21" s="43">
        <f t="shared" si="8"/>
        <v>28015.126565283546</v>
      </c>
      <c r="F21" s="43">
        <v>25205.928535800045</v>
      </c>
      <c r="G21" s="43">
        <v>2088.462209365558</v>
      </c>
      <c r="H21" s="43">
        <f t="shared" si="0"/>
        <v>23117.466326434485</v>
      </c>
      <c r="I21" s="30">
        <f t="shared" si="4"/>
        <v>4897.660238849061</v>
      </c>
      <c r="J21" s="32">
        <f t="shared" si="1"/>
        <v>21.18597327964379</v>
      </c>
      <c r="K21" s="36">
        <f t="shared" si="5"/>
        <v>274.16697356216537</v>
      </c>
      <c r="L21" s="30">
        <f t="shared" si="6"/>
        <v>2809.198029483501</v>
      </c>
      <c r="M21" s="34">
        <f t="shared" si="2"/>
        <v>11.144989265099241</v>
      </c>
      <c r="N21" s="38">
        <f t="shared" si="7"/>
        <v>288.60517590349264</v>
      </c>
    </row>
    <row r="22" spans="1:14" s="4" customFormat="1" ht="12.75">
      <c r="A22" s="17">
        <f t="shared" si="3"/>
        <v>2021</v>
      </c>
      <c r="B22" s="17" t="s">
        <v>14</v>
      </c>
      <c r="C22" s="43">
        <v>28141.719762651013</v>
      </c>
      <c r="D22" s="91">
        <f t="shared" si="9"/>
        <v>71.54499999999999</v>
      </c>
      <c r="E22" s="43">
        <f t="shared" si="8"/>
        <v>28213.26476265101</v>
      </c>
      <c r="F22" s="43">
        <v>25316.416253234296</v>
      </c>
      <c r="G22" s="43">
        <v>2136.2343409014484</v>
      </c>
      <c r="H22" s="43">
        <f t="shared" si="0"/>
        <v>23180.181912332846</v>
      </c>
      <c r="I22" s="30">
        <f t="shared" si="4"/>
        <v>5033.082850318166</v>
      </c>
      <c r="J22" s="32">
        <f t="shared" si="1"/>
        <v>21.712870370703826</v>
      </c>
      <c r="K22" s="36">
        <f t="shared" si="5"/>
        <v>397.0464678515964</v>
      </c>
      <c r="L22" s="30">
        <f t="shared" si="6"/>
        <v>2896.8485094167154</v>
      </c>
      <c r="M22" s="34">
        <f t="shared" si="2"/>
        <v>11.442569439687691</v>
      </c>
      <c r="N22" s="38">
        <f t="shared" si="7"/>
        <v>365.2068840932843</v>
      </c>
    </row>
    <row r="23" spans="1:14" s="4" customFormat="1" ht="12.75">
      <c r="A23" s="17">
        <f t="shared" si="3"/>
        <v>2022</v>
      </c>
      <c r="B23" s="17" t="s">
        <v>65</v>
      </c>
      <c r="C23" s="43">
        <v>28271.816006875466</v>
      </c>
      <c r="D23" s="91">
        <f t="shared" si="9"/>
        <v>116.64499999999998</v>
      </c>
      <c r="E23" s="43">
        <f t="shared" si="8"/>
        <v>28388.461006875466</v>
      </c>
      <c r="F23" s="43">
        <v>25540.189209268094</v>
      </c>
      <c r="G23" s="43">
        <v>2184.7465153952003</v>
      </c>
      <c r="H23" s="43">
        <f t="shared" si="0"/>
        <v>23355.442693872894</v>
      </c>
      <c r="I23" s="30">
        <f t="shared" si="4"/>
        <v>5033.0183130025725</v>
      </c>
      <c r="J23" s="32">
        <f t="shared" si="1"/>
        <v>21.549659233489688</v>
      </c>
      <c r="K23" s="36">
        <f t="shared" si="5"/>
        <v>361.92977422799595</v>
      </c>
      <c r="L23" s="30">
        <f t="shared" si="6"/>
        <v>2848.2717976073727</v>
      </c>
      <c r="M23" s="34">
        <f t="shared" si="2"/>
        <v>11.152117058607319</v>
      </c>
      <c r="N23" s="38">
        <f t="shared" si="7"/>
        <v>294.2528766805626</v>
      </c>
    </row>
    <row r="24" spans="1:14" s="4" customFormat="1" ht="12.75">
      <c r="A24" s="17">
        <f t="shared" si="3"/>
        <v>2023</v>
      </c>
      <c r="B24" s="17" t="s">
        <v>64</v>
      </c>
      <c r="C24" s="43">
        <v>28898</v>
      </c>
      <c r="D24" s="91">
        <f t="shared" si="9"/>
        <v>154.24499999999998</v>
      </c>
      <c r="E24" s="43">
        <f t="shared" si="8"/>
        <v>29052.245</v>
      </c>
      <c r="F24" s="43">
        <v>25832.903255827194</v>
      </c>
      <c r="G24" s="43">
        <v>2234.0294854316176</v>
      </c>
      <c r="H24" s="43">
        <f t="shared" si="0"/>
        <v>23598.873770395578</v>
      </c>
      <c r="I24" s="30">
        <f t="shared" si="4"/>
        <v>5453.371229604421</v>
      </c>
      <c r="J24" s="32">
        <f t="shared" si="1"/>
        <v>23.108607989782932</v>
      </c>
      <c r="K24" s="36">
        <f t="shared" si="5"/>
        <v>733.596475525308</v>
      </c>
      <c r="L24" s="30">
        <f t="shared" si="6"/>
        <v>3219.341744172805</v>
      </c>
      <c r="M24" s="34">
        <f t="shared" si="2"/>
        <v>12.462175514270198</v>
      </c>
      <c r="N24" s="38">
        <f t="shared" si="7"/>
        <v>636.0514185900829</v>
      </c>
    </row>
    <row r="25" spans="1:14" s="4" customFormat="1" ht="13.5" thickBot="1">
      <c r="A25" s="49">
        <f t="shared" si="3"/>
        <v>2024</v>
      </c>
      <c r="B25" s="49"/>
      <c r="C25" s="50">
        <v>28895</v>
      </c>
      <c r="D25" s="95">
        <f t="shared" si="9"/>
        <v>191.24499999999998</v>
      </c>
      <c r="E25" s="50">
        <f t="shared" si="8"/>
        <v>29086.245</v>
      </c>
      <c r="F25" s="50">
        <v>26180.278517781553</v>
      </c>
      <c r="G25" s="50">
        <v>2284.18220399574</v>
      </c>
      <c r="H25" s="50">
        <f t="shared" si="0"/>
        <v>23896.096313785813</v>
      </c>
      <c r="I25" s="51">
        <f t="shared" si="4"/>
        <v>5190.1486862141865</v>
      </c>
      <c r="J25" s="52">
        <f t="shared" si="1"/>
        <v>21.71965085033557</v>
      </c>
      <c r="K25" s="53">
        <f t="shared" si="5"/>
        <v>410.92942345702613</v>
      </c>
      <c r="L25" s="51">
        <f t="shared" si="6"/>
        <v>2905.966482218446</v>
      </c>
      <c r="M25" s="54">
        <f t="shared" si="2"/>
        <v>11.099830279669193</v>
      </c>
      <c r="N25" s="55">
        <f t="shared" si="7"/>
        <v>287.93863044028694</v>
      </c>
    </row>
    <row r="26" spans="1:14" s="4" customFormat="1" ht="12.75">
      <c r="A26" s="17">
        <f t="shared" si="3"/>
        <v>2025</v>
      </c>
      <c r="B26" s="17"/>
      <c r="C26" s="43">
        <v>28892</v>
      </c>
      <c r="D26" s="91">
        <f t="shared" si="9"/>
        <v>331.75282449725773</v>
      </c>
      <c r="E26" s="43">
        <f t="shared" si="8"/>
        <v>29223.752824497256</v>
      </c>
      <c r="F26" s="43">
        <v>26572.4560211349</v>
      </c>
      <c r="G26" s="43">
        <v>2334</v>
      </c>
      <c r="H26" s="43">
        <f t="shared" si="0"/>
        <v>24238.4560211349</v>
      </c>
      <c r="I26" s="30">
        <f t="shared" si="4"/>
        <v>4985.296803362355</v>
      </c>
      <c r="J26" s="32">
        <f t="shared" si="1"/>
        <v>20.56771602537467</v>
      </c>
      <c r="K26" s="36">
        <f t="shared" si="5"/>
        <v>137.6055991353751</v>
      </c>
      <c r="L26" s="30">
        <f t="shared" si="6"/>
        <v>2651.2968033623547</v>
      </c>
      <c r="M26" s="34">
        <f t="shared" si="2"/>
        <v>9.977612913362604</v>
      </c>
      <c r="N26" s="38">
        <f t="shared" si="7"/>
        <v>-5.9487987511383835</v>
      </c>
    </row>
    <row r="27" spans="1:14" s="4" customFormat="1" ht="12.75">
      <c r="A27" s="17">
        <f t="shared" si="3"/>
        <v>2026</v>
      </c>
      <c r="B27" s="17"/>
      <c r="C27" s="43">
        <v>28889</v>
      </c>
      <c r="D27" s="91">
        <f t="shared" si="9"/>
        <v>2115.7528244972577</v>
      </c>
      <c r="E27" s="43">
        <f t="shared" si="8"/>
        <v>31004.752824497256</v>
      </c>
      <c r="F27" s="43">
        <v>27067.6000853683</v>
      </c>
      <c r="G27" s="43">
        <v>2384</v>
      </c>
      <c r="H27" s="43">
        <f>F27-G27</f>
        <v>24683.6000853683</v>
      </c>
      <c r="I27" s="30">
        <f>E27-H27</f>
        <v>6321.1527391289565</v>
      </c>
      <c r="J27" s="32">
        <f>I27/H27*100</f>
        <v>25.608714763110857</v>
      </c>
      <c r="K27" s="36">
        <f t="shared" si="5"/>
        <v>1384.4327220552987</v>
      </c>
      <c r="L27" s="30">
        <f t="shared" si="6"/>
        <v>3937.1527391289565</v>
      </c>
      <c r="M27" s="34">
        <f t="shared" si="2"/>
        <v>14.545629190292452</v>
      </c>
      <c r="N27" s="38">
        <f t="shared" si="7"/>
        <v>1230.3927305921243</v>
      </c>
    </row>
    <row r="28" spans="1:14" s="4" customFormat="1" ht="12.75">
      <c r="A28" s="17">
        <f t="shared" si="3"/>
        <v>2027</v>
      </c>
      <c r="B28" s="17"/>
      <c r="C28" s="43">
        <v>28883</v>
      </c>
      <c r="D28" s="91">
        <f t="shared" si="9"/>
        <v>2115.7528244972577</v>
      </c>
      <c r="E28" s="43">
        <f t="shared" si="8"/>
        <v>30998.752824497256</v>
      </c>
      <c r="F28" s="43">
        <v>27665.21915802903</v>
      </c>
      <c r="G28" s="43">
        <v>2434</v>
      </c>
      <c r="H28" s="43">
        <f>F28-G28</f>
        <v>25231.21915802903</v>
      </c>
      <c r="I28" s="30">
        <f>E28-H28</f>
        <v>5767.533666468225</v>
      </c>
      <c r="J28" s="32">
        <f>I28/H28*100</f>
        <v>22.858719708884507</v>
      </c>
      <c r="K28" s="36">
        <f t="shared" si="5"/>
        <v>721.2898348624221</v>
      </c>
      <c r="L28" s="30">
        <f t="shared" si="6"/>
        <v>3333.5336664682254</v>
      </c>
      <c r="M28" s="34">
        <f t="shared" si="2"/>
        <v>12.049547294118447</v>
      </c>
      <c r="N28" s="38">
        <f t="shared" si="7"/>
        <v>567.0117506653187</v>
      </c>
    </row>
    <row r="29" spans="1:14" s="4" customFormat="1" ht="12.75">
      <c r="A29" s="17">
        <f t="shared" si="3"/>
        <v>2028</v>
      </c>
      <c r="B29" s="17"/>
      <c r="C29" s="43">
        <v>28880</v>
      </c>
      <c r="D29" s="91">
        <f t="shared" si="9"/>
        <v>2115.7528244972577</v>
      </c>
      <c r="E29" s="43">
        <f t="shared" si="8"/>
        <v>30995.752824497256</v>
      </c>
      <c r="F29" s="43">
        <v>28224.724306714037</v>
      </c>
      <c r="G29" s="43">
        <v>2484</v>
      </c>
      <c r="H29" s="43">
        <f>F29-G29</f>
        <v>25740.724306714037</v>
      </c>
      <c r="I29" s="30">
        <f>E29-H29</f>
        <v>5255.028517783219</v>
      </c>
      <c r="J29" s="32">
        <f>I29/H29*100</f>
        <v>20.415231736165765</v>
      </c>
      <c r="K29" s="36">
        <f t="shared" si="5"/>
        <v>106.88365644041187</v>
      </c>
      <c r="L29" s="30">
        <f t="shared" si="6"/>
        <v>2771.0285177832193</v>
      </c>
      <c r="M29" s="34">
        <f t="shared" si="2"/>
        <v>9.817734577921291</v>
      </c>
      <c r="N29" s="38">
        <f t="shared" si="7"/>
        <v>-51.44391288818588</v>
      </c>
    </row>
    <row r="30" spans="1:14" s="4" customFormat="1" ht="12.75">
      <c r="A30" s="17">
        <f t="shared" si="3"/>
        <v>2029</v>
      </c>
      <c r="B30" s="13"/>
      <c r="C30" s="43">
        <v>28878</v>
      </c>
      <c r="D30" s="91">
        <f t="shared" si="9"/>
        <v>3866.7528244972577</v>
      </c>
      <c r="E30" s="43">
        <f t="shared" si="8"/>
        <v>32744.752824497256</v>
      </c>
      <c r="F30" s="43">
        <v>28804.814369193406</v>
      </c>
      <c r="G30" s="43">
        <v>2534</v>
      </c>
      <c r="H30" s="43">
        <f>F30-G30</f>
        <v>26270.814369193406</v>
      </c>
      <c r="I30" s="30">
        <f>E30-H30</f>
        <v>6473.938455303851</v>
      </c>
      <c r="J30" s="32">
        <f>I30/H30*100</f>
        <v>24.64308248813004</v>
      </c>
      <c r="K30" s="36">
        <f t="shared" si="5"/>
        <v>1219.7755814651719</v>
      </c>
      <c r="L30" s="30">
        <f t="shared" si="6"/>
        <v>3939.938455303851</v>
      </c>
      <c r="M30" s="34">
        <f t="shared" si="2"/>
        <v>13.678055358404231</v>
      </c>
      <c r="N30" s="38">
        <f t="shared" si="7"/>
        <v>1059.4570183845062</v>
      </c>
    </row>
    <row r="31" spans="1:14" s="4" customFormat="1" ht="12.75">
      <c r="A31" s="18">
        <f t="shared" si="3"/>
        <v>2030</v>
      </c>
      <c r="B31" s="18"/>
      <c r="C31" s="44">
        <v>28875</v>
      </c>
      <c r="D31" s="92">
        <f t="shared" si="9"/>
        <v>3866.7528244972577</v>
      </c>
      <c r="E31" s="44">
        <f>C31+D31</f>
        <v>32741.752824497256</v>
      </c>
      <c r="F31" s="44">
        <v>29397.66178369829</v>
      </c>
      <c r="G31" s="44">
        <v>2584</v>
      </c>
      <c r="H31" s="44">
        <f>F31-G31</f>
        <v>26813.66178369829</v>
      </c>
      <c r="I31" s="31">
        <f>E31-H31</f>
        <v>5928.091040798965</v>
      </c>
      <c r="J31" s="33">
        <f>I31/H31*100</f>
        <v>22.10847249666968</v>
      </c>
      <c r="K31" s="37">
        <f t="shared" si="5"/>
        <v>565.3586840593089</v>
      </c>
      <c r="L31" s="31">
        <f t="shared" si="6"/>
        <v>3344.091040798965</v>
      </c>
      <c r="M31" s="35">
        <f t="shared" si="2"/>
        <v>11.375364018417763</v>
      </c>
      <c r="N31" s="39">
        <f t="shared" si="7"/>
        <v>404.32486242913365</v>
      </c>
    </row>
    <row r="32" spans="1:4" ht="12" customHeight="1">
      <c r="A32" s="5"/>
      <c r="B32" s="5" t="s">
        <v>66</v>
      </c>
      <c r="C32" s="5"/>
      <c r="D32" s="5"/>
    </row>
    <row r="33" spans="1:11" ht="12.75">
      <c r="A33" s="6"/>
      <c r="B33" s="6"/>
      <c r="C33" s="6"/>
      <c r="D33" s="6"/>
      <c r="E33" s="4"/>
      <c r="F33" s="4"/>
      <c r="G33" s="4"/>
      <c r="H33" s="4"/>
      <c r="I33" s="4"/>
      <c r="J33" s="4"/>
      <c r="K33" s="4"/>
    </row>
    <row r="34" spans="1:4" ht="12.75">
      <c r="A34" s="2"/>
      <c r="B34" s="2"/>
      <c r="C34" s="2"/>
      <c r="D34" s="2"/>
    </row>
    <row r="35" spans="1:11" ht="15.75">
      <c r="A35" s="93"/>
      <c r="B35" s="108" t="s">
        <v>59</v>
      </c>
      <c r="C35" s="109"/>
      <c r="D35" s="109"/>
      <c r="E35" s="110"/>
      <c r="H35" s="71"/>
      <c r="I35" s="71"/>
      <c r="J35" s="72" t="s">
        <v>40</v>
      </c>
      <c r="K35" s="71"/>
    </row>
    <row r="36" spans="1:11" ht="15">
      <c r="A36" s="93"/>
      <c r="B36" s="56"/>
      <c r="C36" s="57" t="s">
        <v>33</v>
      </c>
      <c r="D36" s="57" t="s">
        <v>34</v>
      </c>
      <c r="E36" s="58"/>
      <c r="H36" s="98" t="s">
        <v>41</v>
      </c>
      <c r="I36" s="73" t="s">
        <v>42</v>
      </c>
      <c r="J36" s="73" t="s">
        <v>43</v>
      </c>
      <c r="K36" s="73" t="s">
        <v>44</v>
      </c>
    </row>
    <row r="37" spans="1:11" ht="15">
      <c r="A37" s="93"/>
      <c r="B37" s="59"/>
      <c r="C37" s="60" t="s">
        <v>35</v>
      </c>
      <c r="D37" s="60" t="s">
        <v>35</v>
      </c>
      <c r="E37" s="61" t="s">
        <v>36</v>
      </c>
      <c r="H37" s="98" t="s">
        <v>45</v>
      </c>
      <c r="I37" s="73" t="s">
        <v>8</v>
      </c>
      <c r="J37" s="73" t="s">
        <v>46</v>
      </c>
      <c r="K37" s="73" t="s">
        <v>47</v>
      </c>
    </row>
    <row r="38" spans="1:5" ht="15">
      <c r="A38" s="9"/>
      <c r="B38" s="62" t="s">
        <v>5</v>
      </c>
      <c r="C38" s="63" t="s">
        <v>8</v>
      </c>
      <c r="D38" s="63" t="s">
        <v>8</v>
      </c>
      <c r="E38" s="61" t="s">
        <v>8</v>
      </c>
    </row>
    <row r="39" spans="1:11" ht="12.75">
      <c r="A39" s="9"/>
      <c r="B39" s="70">
        <v>2020</v>
      </c>
      <c r="C39" s="64">
        <v>0</v>
      </c>
      <c r="D39" s="64">
        <v>50</v>
      </c>
      <c r="E39" s="64">
        <v>0</v>
      </c>
      <c r="H39" s="79">
        <v>1700</v>
      </c>
      <c r="I39" s="75">
        <f>H39+D39</f>
        <v>1750</v>
      </c>
      <c r="J39" s="78">
        <v>0.41</v>
      </c>
      <c r="K39" s="76">
        <f>D39*J39</f>
        <v>20.5</v>
      </c>
    </row>
    <row r="40" spans="1:11" ht="12.75">
      <c r="A40" s="9"/>
      <c r="B40" s="70">
        <v>2021</v>
      </c>
      <c r="C40" s="64">
        <v>0</v>
      </c>
      <c r="D40" s="64">
        <v>124.5</v>
      </c>
      <c r="E40" s="64">
        <v>0</v>
      </c>
      <c r="H40" s="74"/>
      <c r="I40" s="75">
        <f>I39+D40</f>
        <v>1874.5</v>
      </c>
      <c r="J40" s="78">
        <v>0.41</v>
      </c>
      <c r="K40" s="76">
        <f aca="true" t="shared" si="10" ref="K40:K49">D40*J40</f>
        <v>51.044999999999995</v>
      </c>
    </row>
    <row r="41" spans="1:11" ht="12.75">
      <c r="A41" s="9"/>
      <c r="B41" s="70">
        <v>2022</v>
      </c>
      <c r="C41" s="64">
        <v>0</v>
      </c>
      <c r="D41" s="64">
        <v>110</v>
      </c>
      <c r="E41" s="64">
        <v>0</v>
      </c>
      <c r="H41" s="74"/>
      <c r="I41" s="75">
        <f aca="true" t="shared" si="11" ref="I41:I49">I40+D41</f>
        <v>1984.5</v>
      </c>
      <c r="J41" s="78">
        <v>0.41</v>
      </c>
      <c r="K41" s="76">
        <f t="shared" si="10"/>
        <v>45.099999999999994</v>
      </c>
    </row>
    <row r="42" spans="1:11" ht="12.75">
      <c r="A42" s="9"/>
      <c r="B42" s="70">
        <v>2023</v>
      </c>
      <c r="C42" s="64">
        <v>0</v>
      </c>
      <c r="D42" s="64">
        <v>100</v>
      </c>
      <c r="E42" s="64">
        <v>0</v>
      </c>
      <c r="H42" s="74"/>
      <c r="I42" s="75">
        <f t="shared" si="11"/>
        <v>2084.5</v>
      </c>
      <c r="J42" s="78">
        <f>((15*0.41)+(85*0.37))/100</f>
        <v>0.376</v>
      </c>
      <c r="K42" s="76">
        <f t="shared" si="10"/>
        <v>37.6</v>
      </c>
    </row>
    <row r="43" spans="2:11" ht="12.75">
      <c r="B43" s="70">
        <v>2024</v>
      </c>
      <c r="C43" s="64">
        <v>0</v>
      </c>
      <c r="D43" s="64">
        <v>100</v>
      </c>
      <c r="E43" s="64">
        <v>0</v>
      </c>
      <c r="H43" s="74"/>
      <c r="I43" s="75">
        <f t="shared" si="11"/>
        <v>2184.5</v>
      </c>
      <c r="J43" s="78">
        <v>0.37</v>
      </c>
      <c r="K43" s="76">
        <f t="shared" si="10"/>
        <v>37</v>
      </c>
    </row>
    <row r="44" spans="2:11" ht="12.75">
      <c r="B44" s="70">
        <v>2025</v>
      </c>
      <c r="C44" s="64">
        <v>0</v>
      </c>
      <c r="D44" s="64">
        <f>547-74.5-74.5</f>
        <v>398</v>
      </c>
      <c r="E44" s="64">
        <v>0</v>
      </c>
      <c r="H44" s="74"/>
      <c r="I44" s="75">
        <f t="shared" si="11"/>
        <v>2582.5</v>
      </c>
      <c r="J44" s="78">
        <f>((315*0.37)+(232*0.33))/547</f>
        <v>0.35303473491773313</v>
      </c>
      <c r="K44" s="76">
        <f t="shared" si="10"/>
        <v>140.5078244972578</v>
      </c>
    </row>
    <row r="45" spans="2:11" ht="12.75">
      <c r="B45" s="70">
        <v>2026</v>
      </c>
      <c r="C45" s="64">
        <v>0</v>
      </c>
      <c r="D45" s="64">
        <v>100</v>
      </c>
      <c r="E45" s="64">
        <v>1751</v>
      </c>
      <c r="H45" s="74"/>
      <c r="I45" s="75">
        <f t="shared" si="11"/>
        <v>2682.5</v>
      </c>
      <c r="J45" s="78">
        <v>0.33</v>
      </c>
      <c r="K45" s="76">
        <f t="shared" si="10"/>
        <v>33</v>
      </c>
    </row>
    <row r="46" spans="2:11" ht="12.75">
      <c r="B46" s="70">
        <v>2027</v>
      </c>
      <c r="C46" s="64">
        <v>0</v>
      </c>
      <c r="D46" s="64">
        <v>0</v>
      </c>
      <c r="E46" s="64">
        <v>0</v>
      </c>
      <c r="H46" s="74"/>
      <c r="I46" s="75">
        <f t="shared" si="11"/>
        <v>2682.5</v>
      </c>
      <c r="J46" s="78">
        <v>0.33</v>
      </c>
      <c r="K46" s="76">
        <f t="shared" si="10"/>
        <v>0</v>
      </c>
    </row>
    <row r="47" spans="2:11" ht="12.75">
      <c r="B47" s="70">
        <v>2028</v>
      </c>
      <c r="C47" s="64">
        <v>0</v>
      </c>
      <c r="D47" s="64">
        <v>0</v>
      </c>
      <c r="E47" s="64">
        <v>0</v>
      </c>
      <c r="H47" s="74"/>
      <c r="I47" s="75">
        <f t="shared" si="11"/>
        <v>2682.5</v>
      </c>
      <c r="J47" s="78">
        <v>0.33</v>
      </c>
      <c r="K47" s="76">
        <f t="shared" si="10"/>
        <v>0</v>
      </c>
    </row>
    <row r="48" spans="2:11" ht="12.75">
      <c r="B48" s="70">
        <v>2029</v>
      </c>
      <c r="C48" s="64">
        <v>0</v>
      </c>
      <c r="D48" s="64">
        <v>0</v>
      </c>
      <c r="E48" s="64">
        <v>1751</v>
      </c>
      <c r="H48" s="74"/>
      <c r="I48" s="75">
        <f t="shared" si="11"/>
        <v>2682.5</v>
      </c>
      <c r="J48" s="78">
        <v>0.33</v>
      </c>
      <c r="K48" s="76">
        <f t="shared" si="10"/>
        <v>0</v>
      </c>
    </row>
    <row r="49" spans="2:11" ht="12.75">
      <c r="B49" s="70">
        <v>2030</v>
      </c>
      <c r="C49" s="64">
        <v>0</v>
      </c>
      <c r="D49" s="64">
        <v>0</v>
      </c>
      <c r="E49" s="64">
        <v>0</v>
      </c>
      <c r="H49" s="74"/>
      <c r="I49" s="75">
        <f t="shared" si="11"/>
        <v>2682.5</v>
      </c>
      <c r="J49" s="78">
        <v>0.33</v>
      </c>
      <c r="K49" s="76">
        <f t="shared" si="10"/>
        <v>0</v>
      </c>
    </row>
    <row r="50" spans="2:11" ht="28.5" customHeight="1">
      <c r="B50" s="65" t="s">
        <v>37</v>
      </c>
      <c r="C50" s="66">
        <f>SUM(C39:C49)</f>
        <v>0</v>
      </c>
      <c r="D50" s="66">
        <f>SUM(D39:D49)</f>
        <v>982.5</v>
      </c>
      <c r="E50" s="66">
        <f>SUM(E39:E49)</f>
        <v>3502</v>
      </c>
      <c r="H50" s="74"/>
      <c r="I50" s="74"/>
      <c r="J50" s="74"/>
      <c r="K50" s="99">
        <f>SUM(K39:K49)</f>
        <v>364.75282449725773</v>
      </c>
    </row>
    <row r="51" spans="2:5" ht="15">
      <c r="B51" s="67" t="s">
        <v>38</v>
      </c>
      <c r="C51" s="66">
        <f>C50</f>
        <v>0</v>
      </c>
      <c r="D51" s="101">
        <f>K50</f>
        <v>364.75282449725773</v>
      </c>
      <c r="E51" s="66">
        <f>E50</f>
        <v>3502</v>
      </c>
    </row>
    <row r="52" spans="2:5" ht="30">
      <c r="B52" s="67" t="s">
        <v>39</v>
      </c>
      <c r="C52" s="66">
        <f>SUM(C51:E51)</f>
        <v>3866.7528244972577</v>
      </c>
      <c r="D52" s="69"/>
      <c r="E52" s="69"/>
    </row>
    <row r="55" spans="2:7" ht="15">
      <c r="B55" s="80" t="s">
        <v>48</v>
      </c>
      <c r="C55" s="81"/>
      <c r="D55" s="81"/>
      <c r="E55" s="81"/>
      <c r="F55" s="81"/>
      <c r="G55" s="82"/>
    </row>
    <row r="56" spans="2:7" ht="12.75">
      <c r="B56" s="83"/>
      <c r="C56" s="84"/>
      <c r="D56" s="84"/>
      <c r="E56" s="84"/>
      <c r="F56" s="84"/>
      <c r="G56" s="85"/>
    </row>
    <row r="57" spans="2:7" ht="12.75">
      <c r="B57" s="83" t="s">
        <v>49</v>
      </c>
      <c r="C57" s="84"/>
      <c r="D57" s="86">
        <v>0.52</v>
      </c>
      <c r="E57" s="84"/>
      <c r="F57" s="84"/>
      <c r="G57" s="85"/>
    </row>
    <row r="58" spans="2:7" ht="12.75">
      <c r="B58" s="83" t="s">
        <v>50</v>
      </c>
      <c r="C58" s="84"/>
      <c r="D58" s="86">
        <v>0.48</v>
      </c>
      <c r="E58" s="84"/>
      <c r="F58" s="84"/>
      <c r="G58" s="85"/>
    </row>
    <row r="59" spans="2:7" ht="12.75">
      <c r="B59" s="83" t="s">
        <v>51</v>
      </c>
      <c r="C59" s="84"/>
      <c r="D59" s="86">
        <v>0.44</v>
      </c>
      <c r="E59" s="84"/>
      <c r="F59" s="84"/>
      <c r="G59" s="85"/>
    </row>
    <row r="60" spans="2:7" ht="12.75">
      <c r="B60" s="83" t="s">
        <v>52</v>
      </c>
      <c r="C60" s="84"/>
      <c r="D60" s="86">
        <v>0.41</v>
      </c>
      <c r="E60" s="84"/>
      <c r="F60" s="84"/>
      <c r="G60" s="85"/>
    </row>
    <row r="61" spans="2:7" ht="12.75">
      <c r="B61" s="83" t="s">
        <v>53</v>
      </c>
      <c r="C61" s="84"/>
      <c r="D61" s="86">
        <v>0.37</v>
      </c>
      <c r="E61" s="84"/>
      <c r="F61" s="84"/>
      <c r="G61" s="85"/>
    </row>
    <row r="62" spans="2:7" ht="12.75">
      <c r="B62" s="87" t="s">
        <v>54</v>
      </c>
      <c r="C62" s="88"/>
      <c r="D62" s="89">
        <v>0.33</v>
      </c>
      <c r="E62" s="88"/>
      <c r="F62" s="88"/>
      <c r="G62" s="90"/>
    </row>
  </sheetData>
  <sheetProtection/>
  <mergeCells count="11">
    <mergeCell ref="A6:N6"/>
    <mergeCell ref="A7:N7"/>
    <mergeCell ref="I11:K11"/>
    <mergeCell ref="L11:N11"/>
    <mergeCell ref="I12:J12"/>
    <mergeCell ref="L12:M12"/>
    <mergeCell ref="I13:J13"/>
    <mergeCell ref="L13:M13"/>
    <mergeCell ref="I14:J14"/>
    <mergeCell ref="L14:M14"/>
    <mergeCell ref="B35:E35"/>
  </mergeCells>
  <conditionalFormatting sqref="N20:N31">
    <cfRule type="cellIs" priority="3" dxfId="18" operator="lessThan" stopIfTrue="1">
      <formula>0</formula>
    </cfRule>
  </conditionalFormatting>
  <conditionalFormatting sqref="C39:E49">
    <cfRule type="cellIs" priority="2" dxfId="0" operator="greaterThan" stopIfTrue="1">
      <formula>0</formula>
    </cfRule>
  </conditionalFormatting>
  <conditionalFormatting sqref="K39:K49">
    <cfRule type="cellIs" priority="1" dxfId="19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 transitionEvaluation="1" transitionEntry="1">
    <tabColor theme="3" tint="-0.24997000396251678"/>
  </sheetPr>
  <dimension ref="A3:N62"/>
  <sheetViews>
    <sheetView showGridLines="0" zoomScalePageLayoutView="0" workbookViewId="0" topLeftCell="A1">
      <selection activeCell="A1" sqref="A1:IV2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3" spans="2:14" ht="12.75">
      <c r="B3" s="42" t="s">
        <v>29</v>
      </c>
      <c r="C3" s="42"/>
      <c r="D3" s="42"/>
      <c r="N3" s="41" t="s">
        <v>31</v>
      </c>
    </row>
    <row r="4" spans="2:14" ht="13.5">
      <c r="B4" s="96" t="s">
        <v>60</v>
      </c>
      <c r="C4" s="94"/>
      <c r="D4" s="94"/>
      <c r="N4" s="1" t="s">
        <v>30</v>
      </c>
    </row>
    <row r="5" spans="2:14" ht="12.75">
      <c r="B5" s="97" t="str">
        <f>B35</f>
        <v>Plan 4: Solar and Batteries</v>
      </c>
      <c r="C5" s="94"/>
      <c r="D5" s="94"/>
      <c r="N5" s="1"/>
    </row>
    <row r="6" spans="1:14" ht="15.75">
      <c r="A6" s="111" t="s">
        <v>26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15.75">
      <c r="A7" s="111" t="s">
        <v>27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4" ht="12.75">
      <c r="A8" s="2"/>
      <c r="B8" s="2"/>
      <c r="C8" s="2"/>
      <c r="D8" s="2"/>
    </row>
    <row r="9" spans="1:14" ht="12.75">
      <c r="A9" s="3">
        <v>-1</v>
      </c>
      <c r="B9" s="3">
        <v>-2</v>
      </c>
      <c r="C9" s="3">
        <v>-3</v>
      </c>
      <c r="D9" s="3">
        <v>-4</v>
      </c>
      <c r="E9" s="3">
        <v>-5</v>
      </c>
      <c r="F9" s="3">
        <v>-6</v>
      </c>
      <c r="G9" s="3">
        <v>-7</v>
      </c>
      <c r="H9" s="3">
        <v>-8</v>
      </c>
      <c r="I9" s="3">
        <v>-9</v>
      </c>
      <c r="J9" s="3">
        <v>-10</v>
      </c>
      <c r="K9" s="3">
        <v>-11</v>
      </c>
      <c r="L9" s="3">
        <v>-12</v>
      </c>
      <c r="M9" s="3">
        <v>-13</v>
      </c>
      <c r="N9" s="40">
        <v>-14</v>
      </c>
    </row>
    <row r="10" spans="1:14" ht="12.75" hidden="1">
      <c r="A10" s="3">
        <v>-1</v>
      </c>
      <c r="B10" s="3">
        <v>-2</v>
      </c>
      <c r="C10" s="3"/>
      <c r="D10" s="3"/>
      <c r="E10" s="3">
        <v>-3</v>
      </c>
      <c r="F10" s="3">
        <v>-4</v>
      </c>
      <c r="G10" s="3">
        <v>-5</v>
      </c>
      <c r="H10" s="3">
        <v>-6</v>
      </c>
      <c r="I10" s="3">
        <v>-7</v>
      </c>
      <c r="J10" s="3">
        <v>-8</v>
      </c>
      <c r="K10" s="3">
        <v>-9</v>
      </c>
      <c r="L10" s="3">
        <v>-10</v>
      </c>
      <c r="M10" s="3">
        <v>-11</v>
      </c>
      <c r="N10" s="40">
        <v>-12</v>
      </c>
    </row>
    <row r="11" spans="1:14" ht="12.75">
      <c r="A11" s="19"/>
      <c r="B11" s="16"/>
      <c r="C11" s="12"/>
      <c r="D11" s="45"/>
      <c r="E11" s="12"/>
      <c r="F11" s="15"/>
      <c r="G11" s="12"/>
      <c r="H11" s="12"/>
      <c r="I11" s="112" t="s">
        <v>18</v>
      </c>
      <c r="J11" s="113"/>
      <c r="K11" s="114"/>
      <c r="L11" s="115" t="s">
        <v>24</v>
      </c>
      <c r="M11" s="116"/>
      <c r="N11" s="117"/>
    </row>
    <row r="12" spans="1:14" ht="12.75">
      <c r="A12" s="14"/>
      <c r="B12" s="14"/>
      <c r="C12" s="13" t="s">
        <v>7</v>
      </c>
      <c r="D12" s="46" t="s">
        <v>28</v>
      </c>
      <c r="E12" s="13" t="s">
        <v>7</v>
      </c>
      <c r="F12" s="14"/>
      <c r="G12" s="14"/>
      <c r="H12" s="13" t="s">
        <v>10</v>
      </c>
      <c r="I12" s="102"/>
      <c r="J12" s="103"/>
      <c r="K12" s="8" t="s">
        <v>19</v>
      </c>
      <c r="L12" s="102"/>
      <c r="M12" s="103"/>
      <c r="N12" s="8" t="s">
        <v>19</v>
      </c>
    </row>
    <row r="13" spans="1:14" ht="12.75">
      <c r="A13" s="14"/>
      <c r="B13" s="14"/>
      <c r="C13" s="14" t="s">
        <v>10</v>
      </c>
      <c r="D13" s="46" t="s">
        <v>10</v>
      </c>
      <c r="E13" s="14" t="s">
        <v>10</v>
      </c>
      <c r="F13" s="13" t="s">
        <v>7</v>
      </c>
      <c r="G13" s="14"/>
      <c r="H13" s="13" t="s">
        <v>0</v>
      </c>
      <c r="I13" s="104"/>
      <c r="J13" s="105"/>
      <c r="K13" s="9" t="s">
        <v>20</v>
      </c>
      <c r="L13" s="104"/>
      <c r="M13" s="105"/>
      <c r="N13" s="9" t="s">
        <v>20</v>
      </c>
    </row>
    <row r="14" spans="1:14" ht="15.75" customHeight="1">
      <c r="A14" s="14"/>
      <c r="B14" s="14"/>
      <c r="C14" s="13" t="s">
        <v>4</v>
      </c>
      <c r="D14" s="46" t="s">
        <v>4</v>
      </c>
      <c r="E14" s="13" t="s">
        <v>4</v>
      </c>
      <c r="F14" s="13" t="s">
        <v>1</v>
      </c>
      <c r="G14" s="13"/>
      <c r="H14" s="13" t="s">
        <v>1</v>
      </c>
      <c r="I14" s="104"/>
      <c r="J14" s="105"/>
      <c r="K14" s="10" t="s">
        <v>21</v>
      </c>
      <c r="L14" s="106"/>
      <c r="M14" s="107"/>
      <c r="N14" s="10" t="s">
        <v>21</v>
      </c>
    </row>
    <row r="15" spans="1:14" ht="15" customHeight="1">
      <c r="A15" s="14"/>
      <c r="B15" s="14" t="s">
        <v>6</v>
      </c>
      <c r="C15" s="13" t="s">
        <v>11</v>
      </c>
      <c r="D15" s="46" t="s">
        <v>3</v>
      </c>
      <c r="E15" s="13" t="s">
        <v>11</v>
      </c>
      <c r="F15" s="13" t="s">
        <v>12</v>
      </c>
      <c r="G15" s="13" t="s">
        <v>2</v>
      </c>
      <c r="H15" s="14" t="s">
        <v>12</v>
      </c>
      <c r="I15" s="27" t="s">
        <v>25</v>
      </c>
      <c r="J15" s="28"/>
      <c r="K15" s="11" t="s">
        <v>22</v>
      </c>
      <c r="L15" s="26" t="s">
        <v>25</v>
      </c>
      <c r="M15" s="29"/>
      <c r="N15" s="11" t="s">
        <v>23</v>
      </c>
    </row>
    <row r="16" spans="1:14" ht="12.75">
      <c r="A16" s="20" t="s">
        <v>5</v>
      </c>
      <c r="B16" s="20" t="s">
        <v>3</v>
      </c>
      <c r="C16" s="20" t="s">
        <v>8</v>
      </c>
      <c r="D16" s="47" t="s">
        <v>8</v>
      </c>
      <c r="E16" s="20" t="s">
        <v>8</v>
      </c>
      <c r="F16" s="20" t="s">
        <v>8</v>
      </c>
      <c r="G16" s="20" t="s">
        <v>8</v>
      </c>
      <c r="H16" s="20" t="s">
        <v>8</v>
      </c>
      <c r="I16" s="21" t="s">
        <v>8</v>
      </c>
      <c r="J16" s="22" t="s">
        <v>9</v>
      </c>
      <c r="K16" s="23" t="s">
        <v>8</v>
      </c>
      <c r="L16" s="24" t="s">
        <v>13</v>
      </c>
      <c r="M16" s="25" t="s">
        <v>17</v>
      </c>
      <c r="N16" s="23" t="s">
        <v>8</v>
      </c>
    </row>
    <row r="17" spans="1:14" s="4" customFormat="1" ht="12.75" hidden="1">
      <c r="A17" s="17">
        <v>2016</v>
      </c>
      <c r="B17" s="17"/>
      <c r="C17" s="43">
        <v>27238.0286375</v>
      </c>
      <c r="D17" s="48">
        <v>0</v>
      </c>
      <c r="E17" s="43">
        <f>C17+D17</f>
        <v>27238.0286375</v>
      </c>
      <c r="F17" s="43">
        <v>24169.686546596025</v>
      </c>
      <c r="G17" s="43">
        <v>1842.4666740400107</v>
      </c>
      <c r="H17" s="43">
        <f aca="true" t="shared" si="0" ref="H17:H26">F17-G17</f>
        <v>22327.219872556016</v>
      </c>
      <c r="I17" s="30">
        <f>E17-H17</f>
        <v>4910.808764943984</v>
      </c>
      <c r="J17" s="32">
        <f aca="true" t="shared" si="1" ref="J17:J26">I17/H17*100</f>
        <v>21.994716731303438</v>
      </c>
      <c r="K17" s="36">
        <f>E17-H17*1.2</f>
        <v>445.36479043278086</v>
      </c>
      <c r="L17" s="30">
        <f>E17-F17</f>
        <v>3068.342090903974</v>
      </c>
      <c r="M17" s="34">
        <f aca="true" t="shared" si="2" ref="M17:M31">L17/F17*100</f>
        <v>12.695001587995804</v>
      </c>
      <c r="N17" s="38">
        <f>E17-F17*1.1</f>
        <v>651.3734362443683</v>
      </c>
    </row>
    <row r="18" spans="1:14" s="4" customFormat="1" ht="12.75" hidden="1">
      <c r="A18" s="17">
        <f aca="true" t="shared" si="3" ref="A18:A31">A17+1</f>
        <v>2017</v>
      </c>
      <c r="B18" s="17"/>
      <c r="C18" s="43">
        <v>26881.95290135625</v>
      </c>
      <c r="D18" s="48">
        <v>0</v>
      </c>
      <c r="E18" s="43">
        <f>C18+D18</f>
        <v>26881.95290135625</v>
      </c>
      <c r="F18" s="43">
        <v>24336.040599945238</v>
      </c>
      <c r="G18" s="43">
        <v>1934.8048828331127</v>
      </c>
      <c r="H18" s="43">
        <f t="shared" si="0"/>
        <v>22401.235717112126</v>
      </c>
      <c r="I18" s="30">
        <f aca="true" t="shared" si="4" ref="I18:I26">E18-H18</f>
        <v>4480.717184244124</v>
      </c>
      <c r="J18" s="32">
        <f t="shared" si="1"/>
        <v>20.002098280771804</v>
      </c>
      <c r="K18" s="36">
        <f aca="true" t="shared" si="5" ref="K18:K31">E18-H18*1.2</f>
        <v>0.4700408216995129</v>
      </c>
      <c r="L18" s="30">
        <f aca="true" t="shared" si="6" ref="L18:L31">E18-F18</f>
        <v>2545.912301411012</v>
      </c>
      <c r="M18" s="34">
        <f t="shared" si="2"/>
        <v>10.461489373981161</v>
      </c>
      <c r="N18" s="38">
        <f aca="true" t="shared" si="7" ref="N18:N31">E18-F18*1.1</f>
        <v>112.30824141648554</v>
      </c>
    </row>
    <row r="19" spans="1:14" s="4" customFormat="1" ht="12.75" hidden="1">
      <c r="A19" s="17">
        <f t="shared" si="3"/>
        <v>2018</v>
      </c>
      <c r="B19" s="17"/>
      <c r="C19" s="43">
        <v>27133.509127497437</v>
      </c>
      <c r="D19" s="48">
        <v>0</v>
      </c>
      <c r="E19" s="43">
        <f aca="true" t="shared" si="8" ref="E19:E30">C19+D19</f>
        <v>27133.509127497437</v>
      </c>
      <c r="F19" s="43">
        <v>24606.278955403854</v>
      </c>
      <c r="G19" s="43">
        <v>1995.2014194263602</v>
      </c>
      <c r="H19" s="43">
        <f t="shared" si="0"/>
        <v>22611.077535977493</v>
      </c>
      <c r="I19" s="30">
        <f t="shared" si="4"/>
        <v>4522.431591519944</v>
      </c>
      <c r="J19" s="32">
        <f t="shared" si="1"/>
        <v>20.000955656907998</v>
      </c>
      <c r="K19" s="36">
        <f t="shared" si="5"/>
        <v>0.21608432444554637</v>
      </c>
      <c r="L19" s="30">
        <f t="shared" si="6"/>
        <v>2527.230172093583</v>
      </c>
      <c r="M19" s="34">
        <f t="shared" si="2"/>
        <v>10.270671874743462</v>
      </c>
      <c r="N19" s="38">
        <f t="shared" si="7"/>
        <v>66.60227655319613</v>
      </c>
    </row>
    <row r="20" spans="1:14" s="4" customFormat="1" ht="12.75">
      <c r="A20" s="17">
        <f t="shared" si="3"/>
        <v>2019</v>
      </c>
      <c r="B20" s="17" t="s">
        <v>15</v>
      </c>
      <c r="C20" s="43">
        <v>28551.067017858702</v>
      </c>
      <c r="D20" s="91">
        <v>0</v>
      </c>
      <c r="E20" s="43">
        <f t="shared" si="8"/>
        <v>28551.067017858702</v>
      </c>
      <c r="F20" s="43">
        <v>24893.09445872483</v>
      </c>
      <c r="G20" s="43">
        <v>2041.4456948504048</v>
      </c>
      <c r="H20" s="43">
        <f t="shared" si="0"/>
        <v>22851.648763874426</v>
      </c>
      <c r="I20" s="30">
        <f t="shared" si="4"/>
        <v>5699.418253984277</v>
      </c>
      <c r="J20" s="32">
        <f t="shared" si="1"/>
        <v>24.940949832006602</v>
      </c>
      <c r="K20" s="36">
        <f t="shared" si="5"/>
        <v>1129.0885012093931</v>
      </c>
      <c r="L20" s="30">
        <f t="shared" si="6"/>
        <v>3657.972559133872</v>
      </c>
      <c r="M20" s="34">
        <f t="shared" si="2"/>
        <v>14.694728151211356</v>
      </c>
      <c r="N20" s="38">
        <f t="shared" si="7"/>
        <v>1168.6631132613875</v>
      </c>
    </row>
    <row r="21" spans="1:14" s="4" customFormat="1" ht="12.75">
      <c r="A21" s="17">
        <f t="shared" si="3"/>
        <v>2020</v>
      </c>
      <c r="B21" s="17" t="s">
        <v>16</v>
      </c>
      <c r="C21" s="43">
        <v>27994.626565283546</v>
      </c>
      <c r="D21" s="91">
        <f aca="true" t="shared" si="9" ref="D21:D31">D20+C39+E39+K39</f>
        <v>20.5</v>
      </c>
      <c r="E21" s="43">
        <f t="shared" si="8"/>
        <v>28015.126565283546</v>
      </c>
      <c r="F21" s="43">
        <v>25205.928535800045</v>
      </c>
      <c r="G21" s="43">
        <v>2088.462209365558</v>
      </c>
      <c r="H21" s="43">
        <f t="shared" si="0"/>
        <v>23117.466326434485</v>
      </c>
      <c r="I21" s="30">
        <f t="shared" si="4"/>
        <v>4897.660238849061</v>
      </c>
      <c r="J21" s="32">
        <f t="shared" si="1"/>
        <v>21.18597327964379</v>
      </c>
      <c r="K21" s="36">
        <f t="shared" si="5"/>
        <v>274.16697356216537</v>
      </c>
      <c r="L21" s="30">
        <f t="shared" si="6"/>
        <v>2809.198029483501</v>
      </c>
      <c r="M21" s="34">
        <f t="shared" si="2"/>
        <v>11.144989265099241</v>
      </c>
      <c r="N21" s="38">
        <f t="shared" si="7"/>
        <v>288.60517590349264</v>
      </c>
    </row>
    <row r="22" spans="1:14" s="4" customFormat="1" ht="12.75">
      <c r="A22" s="17">
        <f t="shared" si="3"/>
        <v>2021</v>
      </c>
      <c r="B22" s="17" t="s">
        <v>14</v>
      </c>
      <c r="C22" s="43">
        <v>28141.719762651013</v>
      </c>
      <c r="D22" s="91">
        <f t="shared" si="9"/>
        <v>71.54499999999999</v>
      </c>
      <c r="E22" s="43">
        <f t="shared" si="8"/>
        <v>28213.26476265101</v>
      </c>
      <c r="F22" s="43">
        <v>25316.416253234296</v>
      </c>
      <c r="G22" s="43">
        <v>2136.2343409014484</v>
      </c>
      <c r="H22" s="43">
        <f t="shared" si="0"/>
        <v>23180.181912332846</v>
      </c>
      <c r="I22" s="30">
        <f t="shared" si="4"/>
        <v>5033.082850318166</v>
      </c>
      <c r="J22" s="32">
        <f t="shared" si="1"/>
        <v>21.712870370703826</v>
      </c>
      <c r="K22" s="36">
        <f t="shared" si="5"/>
        <v>397.0464678515964</v>
      </c>
      <c r="L22" s="30">
        <f t="shared" si="6"/>
        <v>2896.8485094167154</v>
      </c>
      <c r="M22" s="34">
        <f t="shared" si="2"/>
        <v>11.442569439687691</v>
      </c>
      <c r="N22" s="38">
        <f t="shared" si="7"/>
        <v>365.2068840932843</v>
      </c>
    </row>
    <row r="23" spans="1:14" s="4" customFormat="1" ht="12.75">
      <c r="A23" s="17">
        <f t="shared" si="3"/>
        <v>2022</v>
      </c>
      <c r="B23" s="17" t="s">
        <v>65</v>
      </c>
      <c r="C23" s="43">
        <v>28271.816006875466</v>
      </c>
      <c r="D23" s="91">
        <f t="shared" si="9"/>
        <v>116.64499999999998</v>
      </c>
      <c r="E23" s="43">
        <f t="shared" si="8"/>
        <v>28388.461006875466</v>
      </c>
      <c r="F23" s="43">
        <v>25540.189209268094</v>
      </c>
      <c r="G23" s="43">
        <v>2184.7465153952003</v>
      </c>
      <c r="H23" s="43">
        <f t="shared" si="0"/>
        <v>23355.442693872894</v>
      </c>
      <c r="I23" s="30">
        <f t="shared" si="4"/>
        <v>5033.0183130025725</v>
      </c>
      <c r="J23" s="32">
        <f t="shared" si="1"/>
        <v>21.549659233489688</v>
      </c>
      <c r="K23" s="36">
        <f t="shared" si="5"/>
        <v>361.92977422799595</v>
      </c>
      <c r="L23" s="30">
        <f t="shared" si="6"/>
        <v>2848.2717976073727</v>
      </c>
      <c r="M23" s="34">
        <f t="shared" si="2"/>
        <v>11.152117058607319</v>
      </c>
      <c r="N23" s="38">
        <f t="shared" si="7"/>
        <v>294.2528766805626</v>
      </c>
    </row>
    <row r="24" spans="1:14" s="4" customFormat="1" ht="12.75">
      <c r="A24" s="17">
        <f t="shared" si="3"/>
        <v>2023</v>
      </c>
      <c r="B24" s="17" t="s">
        <v>64</v>
      </c>
      <c r="C24" s="43">
        <v>28898</v>
      </c>
      <c r="D24" s="91">
        <f t="shared" si="9"/>
        <v>135.74499999999998</v>
      </c>
      <c r="E24" s="43">
        <f t="shared" si="8"/>
        <v>29033.745</v>
      </c>
      <c r="F24" s="43">
        <v>25832.903255827194</v>
      </c>
      <c r="G24" s="43">
        <v>2234.0294854316176</v>
      </c>
      <c r="H24" s="43">
        <f t="shared" si="0"/>
        <v>23598.873770395578</v>
      </c>
      <c r="I24" s="30">
        <f t="shared" si="4"/>
        <v>5434.871229604421</v>
      </c>
      <c r="J24" s="32">
        <f t="shared" si="1"/>
        <v>23.03021441820831</v>
      </c>
      <c r="K24" s="36">
        <f t="shared" si="5"/>
        <v>715.096475525308</v>
      </c>
      <c r="L24" s="30">
        <f t="shared" si="6"/>
        <v>3200.841744172805</v>
      </c>
      <c r="M24" s="34">
        <f t="shared" si="2"/>
        <v>12.390561418801362</v>
      </c>
      <c r="N24" s="38">
        <f t="shared" si="7"/>
        <v>617.5514185900829</v>
      </c>
    </row>
    <row r="25" spans="1:14" s="4" customFormat="1" ht="13.5" thickBot="1">
      <c r="A25" s="49">
        <f t="shared" si="3"/>
        <v>2024</v>
      </c>
      <c r="B25" s="49"/>
      <c r="C25" s="50">
        <v>28895</v>
      </c>
      <c r="D25" s="95">
        <f t="shared" si="9"/>
        <v>154.24499999999998</v>
      </c>
      <c r="E25" s="50">
        <f t="shared" si="8"/>
        <v>29049.245</v>
      </c>
      <c r="F25" s="50">
        <v>26180.278517781553</v>
      </c>
      <c r="G25" s="50">
        <v>2284.18220399574</v>
      </c>
      <c r="H25" s="50">
        <f t="shared" si="0"/>
        <v>23896.096313785813</v>
      </c>
      <c r="I25" s="51">
        <f t="shared" si="4"/>
        <v>5153.1486862141865</v>
      </c>
      <c r="J25" s="52">
        <f t="shared" si="1"/>
        <v>21.5648138446835</v>
      </c>
      <c r="K25" s="53">
        <f t="shared" si="5"/>
        <v>373.92942345702613</v>
      </c>
      <c r="L25" s="51">
        <f t="shared" si="6"/>
        <v>2868.966482218446</v>
      </c>
      <c r="M25" s="54">
        <f t="shared" si="2"/>
        <v>10.958502524218197</v>
      </c>
      <c r="N25" s="55">
        <f t="shared" si="7"/>
        <v>250.93863044028694</v>
      </c>
    </row>
    <row r="26" spans="1:14" s="4" customFormat="1" ht="12.75">
      <c r="A26" s="17">
        <f t="shared" si="3"/>
        <v>2025</v>
      </c>
      <c r="B26" s="17"/>
      <c r="C26" s="43">
        <v>28892</v>
      </c>
      <c r="D26" s="91">
        <f t="shared" si="9"/>
        <v>280.7083400402414</v>
      </c>
      <c r="E26" s="43">
        <f t="shared" si="8"/>
        <v>29172.70834004024</v>
      </c>
      <c r="F26" s="43">
        <v>26572.4560211349</v>
      </c>
      <c r="G26" s="43">
        <v>2334</v>
      </c>
      <c r="H26" s="43">
        <f t="shared" si="0"/>
        <v>24238.4560211349</v>
      </c>
      <c r="I26" s="30">
        <f t="shared" si="4"/>
        <v>4934.252318905339</v>
      </c>
      <c r="J26" s="32">
        <f t="shared" si="1"/>
        <v>20.35712305520979</v>
      </c>
      <c r="K26" s="36">
        <f t="shared" si="5"/>
        <v>86.56111467835944</v>
      </c>
      <c r="L26" s="30">
        <f t="shared" si="6"/>
        <v>2600.252318905339</v>
      </c>
      <c r="M26" s="34">
        <f t="shared" si="2"/>
        <v>9.785517442712784</v>
      </c>
      <c r="N26" s="38">
        <f t="shared" si="7"/>
        <v>-56.993283208154025</v>
      </c>
    </row>
    <row r="27" spans="1:14" s="4" customFormat="1" ht="12.75">
      <c r="A27" s="17">
        <f t="shared" si="3"/>
        <v>2026</v>
      </c>
      <c r="B27" s="17"/>
      <c r="C27" s="43">
        <v>28889</v>
      </c>
      <c r="D27" s="91">
        <f t="shared" si="9"/>
        <v>897.2083400402414</v>
      </c>
      <c r="E27" s="43">
        <f t="shared" si="8"/>
        <v>29786.20834004024</v>
      </c>
      <c r="F27" s="43">
        <v>27067.6000853683</v>
      </c>
      <c r="G27" s="43">
        <v>2384</v>
      </c>
      <c r="H27" s="43">
        <f>F27-G27</f>
        <v>24683.6000853683</v>
      </c>
      <c r="I27" s="30">
        <f>E27-H27</f>
        <v>5102.608254671941</v>
      </c>
      <c r="J27" s="32">
        <f>I27/H27*100</f>
        <v>20.672058520736666</v>
      </c>
      <c r="K27" s="36">
        <f t="shared" si="5"/>
        <v>165.888237598283</v>
      </c>
      <c r="L27" s="30">
        <f t="shared" si="6"/>
        <v>2718.608254671941</v>
      </c>
      <c r="M27" s="34">
        <f t="shared" si="2"/>
        <v>10.043772798836036</v>
      </c>
      <c r="N27" s="38">
        <f t="shared" si="7"/>
        <v>11.848246135108639</v>
      </c>
    </row>
    <row r="28" spans="1:14" s="4" customFormat="1" ht="12.75">
      <c r="A28" s="17">
        <f t="shared" si="3"/>
        <v>2027</v>
      </c>
      <c r="B28" s="17"/>
      <c r="C28" s="43">
        <v>28883</v>
      </c>
      <c r="D28" s="91">
        <f t="shared" si="9"/>
        <v>1513.7083400402414</v>
      </c>
      <c r="E28" s="43">
        <f t="shared" si="8"/>
        <v>30396.70834004024</v>
      </c>
      <c r="F28" s="43">
        <v>27665.21915802903</v>
      </c>
      <c r="G28" s="43">
        <v>2434</v>
      </c>
      <c r="H28" s="43">
        <f>F28-G28</f>
        <v>25231.21915802903</v>
      </c>
      <c r="I28" s="30">
        <f>E28-H28</f>
        <v>5165.48918201121</v>
      </c>
      <c r="J28" s="32">
        <f>I28/H28*100</f>
        <v>20.472610339034915</v>
      </c>
      <c r="K28" s="36">
        <f t="shared" si="5"/>
        <v>119.2453504054065</v>
      </c>
      <c r="L28" s="30">
        <f t="shared" si="6"/>
        <v>2731.48918201121</v>
      </c>
      <c r="M28" s="34">
        <f t="shared" si="2"/>
        <v>9.873369035713834</v>
      </c>
      <c r="N28" s="38">
        <f t="shared" si="7"/>
        <v>-35.032733791696955</v>
      </c>
    </row>
    <row r="29" spans="1:14" s="4" customFormat="1" ht="12.75">
      <c r="A29" s="17">
        <f t="shared" si="3"/>
        <v>2028</v>
      </c>
      <c r="B29" s="17"/>
      <c r="C29" s="43">
        <v>28880</v>
      </c>
      <c r="D29" s="91">
        <f t="shared" si="9"/>
        <v>2130.2083400402416</v>
      </c>
      <c r="E29" s="43">
        <f t="shared" si="8"/>
        <v>31010.20834004024</v>
      </c>
      <c r="F29" s="43">
        <v>28224.724306714037</v>
      </c>
      <c r="G29" s="43">
        <v>2484</v>
      </c>
      <c r="H29" s="43">
        <f>F29-G29</f>
        <v>25740.724306714037</v>
      </c>
      <c r="I29" s="30">
        <f>E29-H29</f>
        <v>5269.484033326204</v>
      </c>
      <c r="J29" s="32">
        <f>I29/H29*100</f>
        <v>20.471389889956388</v>
      </c>
      <c r="K29" s="36">
        <f t="shared" si="5"/>
        <v>121.33917198339623</v>
      </c>
      <c r="L29" s="30">
        <f t="shared" si="6"/>
        <v>2785.4840333262036</v>
      </c>
      <c r="M29" s="34">
        <f t="shared" si="2"/>
        <v>9.868950367970818</v>
      </c>
      <c r="N29" s="38">
        <f t="shared" si="7"/>
        <v>-36.98839734520152</v>
      </c>
    </row>
    <row r="30" spans="1:14" s="4" customFormat="1" ht="12.75">
      <c r="A30" s="17">
        <f t="shared" si="3"/>
        <v>2029</v>
      </c>
      <c r="B30" s="13"/>
      <c r="C30" s="43">
        <v>28878</v>
      </c>
      <c r="D30" s="91">
        <f t="shared" si="9"/>
        <v>2746.7083400402416</v>
      </c>
      <c r="E30" s="43">
        <f t="shared" si="8"/>
        <v>31624.70834004024</v>
      </c>
      <c r="F30" s="43">
        <v>28804.814369193406</v>
      </c>
      <c r="G30" s="43">
        <v>2534</v>
      </c>
      <c r="H30" s="43">
        <f>F30-G30</f>
        <v>26270.814369193406</v>
      </c>
      <c r="I30" s="30">
        <f>E30-H30</f>
        <v>5353.893970846835</v>
      </c>
      <c r="J30" s="32">
        <f>I30/H30*100</f>
        <v>20.37962697161419</v>
      </c>
      <c r="K30" s="36">
        <f t="shared" si="5"/>
        <v>99.73109700815621</v>
      </c>
      <c r="L30" s="30">
        <f t="shared" si="6"/>
        <v>2819.893970846835</v>
      </c>
      <c r="M30" s="34">
        <f t="shared" si="2"/>
        <v>9.789662015189712</v>
      </c>
      <c r="N30" s="38">
        <f t="shared" si="7"/>
        <v>-60.587466072509415</v>
      </c>
    </row>
    <row r="31" spans="1:14" s="4" customFormat="1" ht="12.75">
      <c r="A31" s="18">
        <f t="shared" si="3"/>
        <v>2030</v>
      </c>
      <c r="B31" s="18"/>
      <c r="C31" s="44">
        <v>28875</v>
      </c>
      <c r="D31" s="92">
        <f t="shared" si="9"/>
        <v>3363.2083400402416</v>
      </c>
      <c r="E31" s="44">
        <f>C31+D31</f>
        <v>32238.20834004024</v>
      </c>
      <c r="F31" s="44">
        <v>29397.66178369829</v>
      </c>
      <c r="G31" s="44">
        <v>2584</v>
      </c>
      <c r="H31" s="44">
        <f>F31-G31</f>
        <v>26813.66178369829</v>
      </c>
      <c r="I31" s="31">
        <f>E31-H31</f>
        <v>5424.546556341949</v>
      </c>
      <c r="J31" s="33">
        <f>I31/H31*100</f>
        <v>20.230532480423363</v>
      </c>
      <c r="K31" s="37">
        <f t="shared" si="5"/>
        <v>61.81419960229323</v>
      </c>
      <c r="L31" s="31">
        <f t="shared" si="6"/>
        <v>2840.5465563419493</v>
      </c>
      <c r="M31" s="35">
        <f t="shared" si="2"/>
        <v>9.662491449973414</v>
      </c>
      <c r="N31" s="39">
        <f t="shared" si="7"/>
        <v>-99.219622027882</v>
      </c>
    </row>
    <row r="32" spans="1:4" ht="12" customHeight="1">
      <c r="A32" s="5"/>
      <c r="B32" s="5" t="s">
        <v>66</v>
      </c>
      <c r="C32" s="5"/>
      <c r="D32" s="5"/>
    </row>
    <row r="33" spans="1:11" ht="12.75">
      <c r="A33" s="6"/>
      <c r="B33" s="6"/>
      <c r="C33" s="6"/>
      <c r="D33" s="6"/>
      <c r="E33" s="4"/>
      <c r="F33" s="4"/>
      <c r="G33" s="4"/>
      <c r="H33" s="4"/>
      <c r="I33" s="4"/>
      <c r="J33" s="4"/>
      <c r="K33" s="4"/>
    </row>
    <row r="34" spans="1:4" ht="12.75">
      <c r="A34" s="2"/>
      <c r="B34" s="2"/>
      <c r="C34" s="2"/>
      <c r="D34" s="2"/>
    </row>
    <row r="35" spans="1:11" ht="15.75">
      <c r="A35" s="93"/>
      <c r="B35" s="108" t="s">
        <v>61</v>
      </c>
      <c r="C35" s="109"/>
      <c r="D35" s="109"/>
      <c r="E35" s="110"/>
      <c r="H35" s="71"/>
      <c r="I35" s="71"/>
      <c r="J35" s="72" t="s">
        <v>40</v>
      </c>
      <c r="K35" s="71"/>
    </row>
    <row r="36" spans="1:11" ht="15">
      <c r="A36" s="93"/>
      <c r="B36" s="56"/>
      <c r="C36" s="57" t="s">
        <v>33</v>
      </c>
      <c r="D36" s="57" t="s">
        <v>34</v>
      </c>
      <c r="E36" s="58"/>
      <c r="H36" s="98" t="s">
        <v>41</v>
      </c>
      <c r="I36" s="73" t="s">
        <v>42</v>
      </c>
      <c r="J36" s="73" t="s">
        <v>43</v>
      </c>
      <c r="K36" s="73" t="s">
        <v>44</v>
      </c>
    </row>
    <row r="37" spans="1:11" ht="15">
      <c r="A37" s="93"/>
      <c r="B37" s="59"/>
      <c r="C37" s="60" t="s">
        <v>35</v>
      </c>
      <c r="D37" s="60" t="s">
        <v>35</v>
      </c>
      <c r="E37" s="61" t="s">
        <v>36</v>
      </c>
      <c r="H37" s="98" t="s">
        <v>45</v>
      </c>
      <c r="I37" s="73" t="s">
        <v>8</v>
      </c>
      <c r="J37" s="73" t="s">
        <v>46</v>
      </c>
      <c r="K37" s="73" t="s">
        <v>47</v>
      </c>
    </row>
    <row r="38" spans="1:5" ht="15">
      <c r="A38" s="9"/>
      <c r="B38" s="62" t="s">
        <v>5</v>
      </c>
      <c r="C38" s="63" t="s">
        <v>8</v>
      </c>
      <c r="D38" s="63" t="s">
        <v>8</v>
      </c>
      <c r="E38" s="61" t="s">
        <v>8</v>
      </c>
    </row>
    <row r="39" spans="1:11" ht="12.75">
      <c r="A39" s="9"/>
      <c r="B39" s="70">
        <v>2020</v>
      </c>
      <c r="C39" s="64">
        <v>0</v>
      </c>
      <c r="D39" s="64">
        <v>50</v>
      </c>
      <c r="E39" s="64">
        <v>0</v>
      </c>
      <c r="H39" s="79">
        <v>1700</v>
      </c>
      <c r="I39" s="75">
        <f>H39+D39</f>
        <v>1750</v>
      </c>
      <c r="J39" s="78">
        <v>0.41</v>
      </c>
      <c r="K39" s="76">
        <f>D39*J39</f>
        <v>20.5</v>
      </c>
    </row>
    <row r="40" spans="1:11" ht="12.75">
      <c r="A40" s="9"/>
      <c r="B40" s="70">
        <v>2021</v>
      </c>
      <c r="C40" s="64">
        <v>0</v>
      </c>
      <c r="D40" s="64">
        <v>124.5</v>
      </c>
      <c r="E40" s="64">
        <v>0</v>
      </c>
      <c r="H40" s="74"/>
      <c r="I40" s="75">
        <f>I39+D40</f>
        <v>1874.5</v>
      </c>
      <c r="J40" s="78">
        <v>0.41</v>
      </c>
      <c r="K40" s="76">
        <f aca="true" t="shared" si="10" ref="K40:K49">D40*J40</f>
        <v>51.044999999999995</v>
      </c>
    </row>
    <row r="41" spans="1:11" ht="12.75">
      <c r="A41" s="9"/>
      <c r="B41" s="70">
        <v>2022</v>
      </c>
      <c r="C41" s="64">
        <v>0</v>
      </c>
      <c r="D41" s="64">
        <v>110</v>
      </c>
      <c r="E41" s="64">
        <v>0</v>
      </c>
      <c r="H41" s="74"/>
      <c r="I41" s="75">
        <f aca="true" t="shared" si="11" ref="I41:I49">I40+D41</f>
        <v>1984.5</v>
      </c>
      <c r="J41" s="78">
        <v>0.41</v>
      </c>
      <c r="K41" s="76">
        <f t="shared" si="10"/>
        <v>45.099999999999994</v>
      </c>
    </row>
    <row r="42" spans="1:11" ht="12.75">
      <c r="A42" s="9"/>
      <c r="B42" s="70">
        <v>2023</v>
      </c>
      <c r="C42" s="64">
        <v>0</v>
      </c>
      <c r="D42" s="64">
        <v>50</v>
      </c>
      <c r="E42" s="64">
        <v>0</v>
      </c>
      <c r="H42" s="74"/>
      <c r="I42" s="75">
        <f t="shared" si="11"/>
        <v>2034.5</v>
      </c>
      <c r="J42" s="78">
        <f>((15*0.41)+(35*0.37))/50</f>
        <v>0.38199999999999995</v>
      </c>
      <c r="K42" s="76">
        <f t="shared" si="10"/>
        <v>19.099999999999998</v>
      </c>
    </row>
    <row r="43" spans="2:11" ht="12.75">
      <c r="B43" s="70">
        <v>2024</v>
      </c>
      <c r="C43" s="64">
        <v>0</v>
      </c>
      <c r="D43" s="64">
        <v>50</v>
      </c>
      <c r="E43" s="64">
        <v>0</v>
      </c>
      <c r="H43" s="74"/>
      <c r="I43" s="75">
        <f t="shared" si="11"/>
        <v>2084.5</v>
      </c>
      <c r="J43" s="78">
        <v>0.37</v>
      </c>
      <c r="K43" s="76">
        <f t="shared" si="10"/>
        <v>18.5</v>
      </c>
    </row>
    <row r="44" spans="2:11" ht="12.75">
      <c r="B44" s="70">
        <v>2025</v>
      </c>
      <c r="C44" s="64">
        <v>0</v>
      </c>
      <c r="D44" s="64">
        <f>497-74.5-74.5</f>
        <v>348</v>
      </c>
      <c r="E44" s="64">
        <v>0</v>
      </c>
      <c r="H44" s="74"/>
      <c r="I44" s="75">
        <f t="shared" si="11"/>
        <v>2432.5</v>
      </c>
      <c r="J44" s="78">
        <f>((415*0.37)+(82*0.33))/497</f>
        <v>0.36340040241448696</v>
      </c>
      <c r="K44" s="76">
        <f t="shared" si="10"/>
        <v>126.46334004024146</v>
      </c>
    </row>
    <row r="45" spans="2:11" ht="12.75">
      <c r="B45" s="70">
        <v>2026</v>
      </c>
      <c r="C45" s="64">
        <v>600</v>
      </c>
      <c r="D45" s="64">
        <v>50</v>
      </c>
      <c r="E45" s="64">
        <v>0</v>
      </c>
      <c r="H45" s="74"/>
      <c r="I45" s="75">
        <f t="shared" si="11"/>
        <v>2482.5</v>
      </c>
      <c r="J45" s="78">
        <v>0.33</v>
      </c>
      <c r="K45" s="76">
        <f t="shared" si="10"/>
        <v>16.5</v>
      </c>
    </row>
    <row r="46" spans="2:11" ht="12.75">
      <c r="B46" s="70">
        <v>2027</v>
      </c>
      <c r="C46" s="64">
        <v>600</v>
      </c>
      <c r="D46" s="64">
        <v>50</v>
      </c>
      <c r="E46" s="64">
        <v>0</v>
      </c>
      <c r="H46" s="74"/>
      <c r="I46" s="75">
        <f t="shared" si="11"/>
        <v>2532.5</v>
      </c>
      <c r="J46" s="78">
        <v>0.33</v>
      </c>
      <c r="K46" s="76">
        <f t="shared" si="10"/>
        <v>16.5</v>
      </c>
    </row>
    <row r="47" spans="2:11" ht="12.75">
      <c r="B47" s="70">
        <v>2028</v>
      </c>
      <c r="C47" s="64">
        <v>600</v>
      </c>
      <c r="D47" s="64">
        <v>50</v>
      </c>
      <c r="E47" s="64">
        <v>0</v>
      </c>
      <c r="H47" s="74"/>
      <c r="I47" s="75">
        <f t="shared" si="11"/>
        <v>2582.5</v>
      </c>
      <c r="J47" s="78">
        <v>0.33</v>
      </c>
      <c r="K47" s="76">
        <f t="shared" si="10"/>
        <v>16.5</v>
      </c>
    </row>
    <row r="48" spans="2:11" ht="12.75">
      <c r="B48" s="70">
        <v>2029</v>
      </c>
      <c r="C48" s="64">
        <v>600</v>
      </c>
      <c r="D48" s="64">
        <v>50</v>
      </c>
      <c r="E48" s="64">
        <v>0</v>
      </c>
      <c r="H48" s="74"/>
      <c r="I48" s="75">
        <f t="shared" si="11"/>
        <v>2632.5</v>
      </c>
      <c r="J48" s="78">
        <v>0.33</v>
      </c>
      <c r="K48" s="76">
        <f t="shared" si="10"/>
        <v>16.5</v>
      </c>
    </row>
    <row r="49" spans="2:11" ht="12.75">
      <c r="B49" s="70">
        <v>2030</v>
      </c>
      <c r="C49" s="64">
        <v>600</v>
      </c>
      <c r="D49" s="64">
        <v>50</v>
      </c>
      <c r="E49" s="64">
        <v>0</v>
      </c>
      <c r="H49" s="74"/>
      <c r="I49" s="75">
        <f t="shared" si="11"/>
        <v>2682.5</v>
      </c>
      <c r="J49" s="78">
        <v>0.33</v>
      </c>
      <c r="K49" s="76">
        <f t="shared" si="10"/>
        <v>16.5</v>
      </c>
    </row>
    <row r="50" spans="2:11" ht="28.5" customHeight="1">
      <c r="B50" s="65" t="s">
        <v>37</v>
      </c>
      <c r="C50" s="66">
        <f>SUM(C39:C49)</f>
        <v>3000</v>
      </c>
      <c r="D50" s="66">
        <f>SUM(D39:D49)</f>
        <v>982.5</v>
      </c>
      <c r="E50" s="66">
        <f>SUM(E39:E49)</f>
        <v>0</v>
      </c>
      <c r="H50" s="74"/>
      <c r="I50" s="74"/>
      <c r="J50" s="74"/>
      <c r="K50" s="99">
        <f>SUM(K39:K49)</f>
        <v>363.2083400402414</v>
      </c>
    </row>
    <row r="51" spans="2:5" ht="15">
      <c r="B51" s="67" t="s">
        <v>38</v>
      </c>
      <c r="C51" s="66">
        <f>C50</f>
        <v>3000</v>
      </c>
      <c r="D51" s="101">
        <f>K50</f>
        <v>363.2083400402414</v>
      </c>
      <c r="E51" s="66">
        <f>E50</f>
        <v>0</v>
      </c>
    </row>
    <row r="52" spans="2:5" ht="30">
      <c r="B52" s="67" t="s">
        <v>39</v>
      </c>
      <c r="C52" s="66">
        <f>SUM(C51:E51)</f>
        <v>3363.2083400402416</v>
      </c>
      <c r="D52" s="69"/>
      <c r="E52" s="69"/>
    </row>
    <row r="55" spans="2:7" ht="15">
      <c r="B55" s="80" t="s">
        <v>48</v>
      </c>
      <c r="C55" s="81"/>
      <c r="D55" s="81"/>
      <c r="E55" s="81"/>
      <c r="F55" s="81"/>
      <c r="G55" s="82"/>
    </row>
    <row r="56" spans="2:7" ht="12.75">
      <c r="B56" s="83"/>
      <c r="C56" s="84"/>
      <c r="D56" s="84"/>
      <c r="E56" s="84"/>
      <c r="F56" s="84"/>
      <c r="G56" s="85"/>
    </row>
    <row r="57" spans="2:7" ht="12.75">
      <c r="B57" s="83" t="s">
        <v>49</v>
      </c>
      <c r="C57" s="84"/>
      <c r="D57" s="86">
        <v>0.52</v>
      </c>
      <c r="E57" s="84"/>
      <c r="F57" s="84"/>
      <c r="G57" s="85"/>
    </row>
    <row r="58" spans="2:7" ht="12.75">
      <c r="B58" s="83" t="s">
        <v>50</v>
      </c>
      <c r="C58" s="84"/>
      <c r="D58" s="86">
        <v>0.48</v>
      </c>
      <c r="E58" s="84"/>
      <c r="F58" s="84"/>
      <c r="G58" s="85"/>
    </row>
    <row r="59" spans="2:7" ht="12.75">
      <c r="B59" s="83" t="s">
        <v>51</v>
      </c>
      <c r="C59" s="84"/>
      <c r="D59" s="86">
        <v>0.44</v>
      </c>
      <c r="E59" s="84"/>
      <c r="F59" s="84"/>
      <c r="G59" s="85"/>
    </row>
    <row r="60" spans="2:7" ht="12.75">
      <c r="B60" s="83" t="s">
        <v>52</v>
      </c>
      <c r="C60" s="84"/>
      <c r="D60" s="86">
        <v>0.41</v>
      </c>
      <c r="E60" s="84"/>
      <c r="F60" s="84"/>
      <c r="G60" s="85"/>
    </row>
    <row r="61" spans="2:7" ht="12.75">
      <c r="B61" s="83" t="s">
        <v>53</v>
      </c>
      <c r="C61" s="84"/>
      <c r="D61" s="86">
        <v>0.37</v>
      </c>
      <c r="E61" s="84"/>
      <c r="F61" s="84"/>
      <c r="G61" s="85"/>
    </row>
    <row r="62" spans="2:7" ht="12.75">
      <c r="B62" s="87" t="s">
        <v>54</v>
      </c>
      <c r="C62" s="88"/>
      <c r="D62" s="89">
        <v>0.33</v>
      </c>
      <c r="E62" s="88"/>
      <c r="F62" s="88"/>
      <c r="G62" s="90"/>
    </row>
  </sheetData>
  <sheetProtection/>
  <mergeCells count="11">
    <mergeCell ref="A6:N6"/>
    <mergeCell ref="A7:N7"/>
    <mergeCell ref="I11:K11"/>
    <mergeCell ref="L11:N11"/>
    <mergeCell ref="I12:J12"/>
    <mergeCell ref="L12:M12"/>
    <mergeCell ref="I13:J13"/>
    <mergeCell ref="L13:M13"/>
    <mergeCell ref="I14:J14"/>
    <mergeCell ref="L14:M14"/>
    <mergeCell ref="B35:E35"/>
  </mergeCells>
  <conditionalFormatting sqref="N20:N31">
    <cfRule type="cellIs" priority="3" dxfId="18" operator="lessThan" stopIfTrue="1">
      <formula>0</formula>
    </cfRule>
  </conditionalFormatting>
  <conditionalFormatting sqref="C39:E49">
    <cfRule type="cellIs" priority="2" dxfId="0" operator="greaterThan" stopIfTrue="1">
      <formula>0</formula>
    </cfRule>
  </conditionalFormatting>
  <conditionalFormatting sqref="K39:K49">
    <cfRule type="cellIs" priority="1" dxfId="19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 transitionEvaluation="1" transitionEntry="1">
    <tabColor theme="3" tint="-0.4999699890613556"/>
  </sheetPr>
  <dimension ref="A3:N62"/>
  <sheetViews>
    <sheetView showGridLines="0" tabSelected="1" zoomScalePageLayoutView="0" workbookViewId="0" topLeftCell="A1">
      <selection activeCell="A1" sqref="A1:IV2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3" spans="2:14" ht="12.75">
      <c r="B3" s="42" t="s">
        <v>29</v>
      </c>
      <c r="C3" s="42"/>
      <c r="D3" s="42"/>
      <c r="N3" s="41" t="s">
        <v>31</v>
      </c>
    </row>
    <row r="4" spans="2:14" ht="13.5">
      <c r="B4" s="96" t="s">
        <v>63</v>
      </c>
      <c r="C4" s="94"/>
      <c r="D4" s="94"/>
      <c r="N4" s="1" t="s">
        <v>30</v>
      </c>
    </row>
    <row r="5" spans="2:14" ht="12.75">
      <c r="B5" s="97" t="str">
        <f>B35</f>
        <v>Plan 5: Solar and Batteries</v>
      </c>
      <c r="C5" s="94"/>
      <c r="D5" s="94"/>
      <c r="N5" s="1"/>
    </row>
    <row r="6" spans="1:14" ht="15.75">
      <c r="A6" s="111" t="s">
        <v>26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15.75">
      <c r="A7" s="111" t="s">
        <v>27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4" ht="12.75">
      <c r="A8" s="2"/>
      <c r="B8" s="2"/>
      <c r="C8" s="2"/>
      <c r="D8" s="2"/>
    </row>
    <row r="9" spans="1:14" ht="12.75">
      <c r="A9" s="3">
        <v>-1</v>
      </c>
      <c r="B9" s="3">
        <v>-2</v>
      </c>
      <c r="C9" s="3">
        <v>-3</v>
      </c>
      <c r="D9" s="3">
        <v>-4</v>
      </c>
      <c r="E9" s="3">
        <v>-5</v>
      </c>
      <c r="F9" s="3">
        <v>-6</v>
      </c>
      <c r="G9" s="3">
        <v>-7</v>
      </c>
      <c r="H9" s="3">
        <v>-8</v>
      </c>
      <c r="I9" s="3">
        <v>-9</v>
      </c>
      <c r="J9" s="3">
        <v>-10</v>
      </c>
      <c r="K9" s="3">
        <v>-11</v>
      </c>
      <c r="L9" s="3">
        <v>-12</v>
      </c>
      <c r="M9" s="3">
        <v>-13</v>
      </c>
      <c r="N9" s="40">
        <v>-14</v>
      </c>
    </row>
    <row r="10" spans="1:14" ht="12.75" hidden="1">
      <c r="A10" s="3">
        <v>-1</v>
      </c>
      <c r="B10" s="3">
        <v>-2</v>
      </c>
      <c r="C10" s="3"/>
      <c r="D10" s="3"/>
      <c r="E10" s="3">
        <v>-3</v>
      </c>
      <c r="F10" s="3">
        <v>-4</v>
      </c>
      <c r="G10" s="3">
        <v>-5</v>
      </c>
      <c r="H10" s="3">
        <v>-6</v>
      </c>
      <c r="I10" s="3">
        <v>-7</v>
      </c>
      <c r="J10" s="3">
        <v>-8</v>
      </c>
      <c r="K10" s="3">
        <v>-9</v>
      </c>
      <c r="L10" s="3">
        <v>-10</v>
      </c>
      <c r="M10" s="3">
        <v>-11</v>
      </c>
      <c r="N10" s="40">
        <v>-12</v>
      </c>
    </row>
    <row r="11" spans="1:14" ht="12.75">
      <c r="A11" s="19"/>
      <c r="B11" s="16"/>
      <c r="C11" s="12"/>
      <c r="D11" s="45"/>
      <c r="E11" s="12"/>
      <c r="F11" s="15"/>
      <c r="G11" s="12"/>
      <c r="H11" s="12"/>
      <c r="I11" s="112" t="s">
        <v>18</v>
      </c>
      <c r="J11" s="113"/>
      <c r="K11" s="114"/>
      <c r="L11" s="115" t="s">
        <v>24</v>
      </c>
      <c r="M11" s="116"/>
      <c r="N11" s="117"/>
    </row>
    <row r="12" spans="1:14" ht="12.75">
      <c r="A12" s="14"/>
      <c r="B12" s="14"/>
      <c r="C12" s="13" t="s">
        <v>7</v>
      </c>
      <c r="D12" s="46" t="s">
        <v>28</v>
      </c>
      <c r="E12" s="13" t="s">
        <v>7</v>
      </c>
      <c r="F12" s="14"/>
      <c r="G12" s="14"/>
      <c r="H12" s="13" t="s">
        <v>10</v>
      </c>
      <c r="I12" s="102"/>
      <c r="J12" s="103"/>
      <c r="K12" s="8" t="s">
        <v>19</v>
      </c>
      <c r="L12" s="102"/>
      <c r="M12" s="103"/>
      <c r="N12" s="8" t="s">
        <v>19</v>
      </c>
    </row>
    <row r="13" spans="1:14" ht="12.75">
      <c r="A13" s="14"/>
      <c r="B13" s="14"/>
      <c r="C13" s="14" t="s">
        <v>10</v>
      </c>
      <c r="D13" s="46" t="s">
        <v>10</v>
      </c>
      <c r="E13" s="14" t="s">
        <v>10</v>
      </c>
      <c r="F13" s="13" t="s">
        <v>7</v>
      </c>
      <c r="G13" s="14"/>
      <c r="H13" s="13" t="s">
        <v>0</v>
      </c>
      <c r="I13" s="104"/>
      <c r="J13" s="105"/>
      <c r="K13" s="9" t="s">
        <v>20</v>
      </c>
      <c r="L13" s="104"/>
      <c r="M13" s="105"/>
      <c r="N13" s="9" t="s">
        <v>20</v>
      </c>
    </row>
    <row r="14" spans="1:14" ht="15.75" customHeight="1">
      <c r="A14" s="14"/>
      <c r="B14" s="14"/>
      <c r="C14" s="13" t="s">
        <v>4</v>
      </c>
      <c r="D14" s="46" t="s">
        <v>4</v>
      </c>
      <c r="E14" s="13" t="s">
        <v>4</v>
      </c>
      <c r="F14" s="13" t="s">
        <v>1</v>
      </c>
      <c r="G14" s="13"/>
      <c r="H14" s="13" t="s">
        <v>1</v>
      </c>
      <c r="I14" s="104"/>
      <c r="J14" s="105"/>
      <c r="K14" s="10" t="s">
        <v>21</v>
      </c>
      <c r="L14" s="106"/>
      <c r="M14" s="107"/>
      <c r="N14" s="10" t="s">
        <v>21</v>
      </c>
    </row>
    <row r="15" spans="1:14" ht="15" customHeight="1">
      <c r="A15" s="14"/>
      <c r="B15" s="14" t="s">
        <v>6</v>
      </c>
      <c r="C15" s="13" t="s">
        <v>11</v>
      </c>
      <c r="D15" s="46" t="s">
        <v>3</v>
      </c>
      <c r="E15" s="13" t="s">
        <v>11</v>
      </c>
      <c r="F15" s="13" t="s">
        <v>12</v>
      </c>
      <c r="G15" s="13" t="s">
        <v>2</v>
      </c>
      <c r="H15" s="14" t="s">
        <v>12</v>
      </c>
      <c r="I15" s="27" t="s">
        <v>25</v>
      </c>
      <c r="J15" s="28"/>
      <c r="K15" s="11" t="s">
        <v>22</v>
      </c>
      <c r="L15" s="26" t="s">
        <v>25</v>
      </c>
      <c r="M15" s="29"/>
      <c r="N15" s="11" t="s">
        <v>23</v>
      </c>
    </row>
    <row r="16" spans="1:14" ht="12.75">
      <c r="A16" s="20" t="s">
        <v>5</v>
      </c>
      <c r="B16" s="20" t="s">
        <v>3</v>
      </c>
      <c r="C16" s="20" t="s">
        <v>8</v>
      </c>
      <c r="D16" s="47" t="s">
        <v>8</v>
      </c>
      <c r="E16" s="20" t="s">
        <v>8</v>
      </c>
      <c r="F16" s="20" t="s">
        <v>8</v>
      </c>
      <c r="G16" s="20" t="s">
        <v>8</v>
      </c>
      <c r="H16" s="20" t="s">
        <v>8</v>
      </c>
      <c r="I16" s="21" t="s">
        <v>8</v>
      </c>
      <c r="J16" s="22" t="s">
        <v>9</v>
      </c>
      <c r="K16" s="23" t="s">
        <v>8</v>
      </c>
      <c r="L16" s="24" t="s">
        <v>13</v>
      </c>
      <c r="M16" s="25" t="s">
        <v>17</v>
      </c>
      <c r="N16" s="23" t="s">
        <v>8</v>
      </c>
    </row>
    <row r="17" spans="1:14" s="4" customFormat="1" ht="12.75" hidden="1">
      <c r="A17" s="17">
        <v>2016</v>
      </c>
      <c r="B17" s="17"/>
      <c r="C17" s="43">
        <v>27238.0286375</v>
      </c>
      <c r="D17" s="48">
        <v>0</v>
      </c>
      <c r="E17" s="43">
        <f>C17+D17</f>
        <v>27238.0286375</v>
      </c>
      <c r="F17" s="43">
        <v>24169.686546596025</v>
      </c>
      <c r="G17" s="43">
        <v>1842.4666740400107</v>
      </c>
      <c r="H17" s="43">
        <f aca="true" t="shared" si="0" ref="H17:H26">F17-G17</f>
        <v>22327.219872556016</v>
      </c>
      <c r="I17" s="30">
        <f>E17-H17</f>
        <v>4910.808764943984</v>
      </c>
      <c r="J17" s="32">
        <f aca="true" t="shared" si="1" ref="J17:J26">I17/H17*100</f>
        <v>21.994716731303438</v>
      </c>
      <c r="K17" s="36">
        <f>E17-H17*1.2</f>
        <v>445.36479043278086</v>
      </c>
      <c r="L17" s="30">
        <f>E17-F17</f>
        <v>3068.342090903974</v>
      </c>
      <c r="M17" s="34">
        <f aca="true" t="shared" si="2" ref="M17:M31">L17/F17*100</f>
        <v>12.695001587995804</v>
      </c>
      <c r="N17" s="38">
        <f>E17-F17*1.1</f>
        <v>651.3734362443683</v>
      </c>
    </row>
    <row r="18" spans="1:14" s="4" customFormat="1" ht="12.75" hidden="1">
      <c r="A18" s="17">
        <f aca="true" t="shared" si="3" ref="A18:A31">A17+1</f>
        <v>2017</v>
      </c>
      <c r="B18" s="17"/>
      <c r="C18" s="43">
        <v>26881.95290135625</v>
      </c>
      <c r="D18" s="48">
        <v>0</v>
      </c>
      <c r="E18" s="43">
        <f>C18+D18</f>
        <v>26881.95290135625</v>
      </c>
      <c r="F18" s="43">
        <v>24336.040599945238</v>
      </c>
      <c r="G18" s="43">
        <v>1934.8048828331127</v>
      </c>
      <c r="H18" s="43">
        <f t="shared" si="0"/>
        <v>22401.235717112126</v>
      </c>
      <c r="I18" s="30">
        <f aca="true" t="shared" si="4" ref="I18:I26">E18-H18</f>
        <v>4480.717184244124</v>
      </c>
      <c r="J18" s="32">
        <f t="shared" si="1"/>
        <v>20.002098280771804</v>
      </c>
      <c r="K18" s="36">
        <f aca="true" t="shared" si="5" ref="K18:K31">E18-H18*1.2</f>
        <v>0.4700408216995129</v>
      </c>
      <c r="L18" s="30">
        <f aca="true" t="shared" si="6" ref="L18:L31">E18-F18</f>
        <v>2545.912301411012</v>
      </c>
      <c r="M18" s="34">
        <f t="shared" si="2"/>
        <v>10.461489373981161</v>
      </c>
      <c r="N18" s="38">
        <f aca="true" t="shared" si="7" ref="N18:N31">E18-F18*1.1</f>
        <v>112.30824141648554</v>
      </c>
    </row>
    <row r="19" spans="1:14" s="4" customFormat="1" ht="12.75" hidden="1">
      <c r="A19" s="17">
        <f t="shared" si="3"/>
        <v>2018</v>
      </c>
      <c r="B19" s="17"/>
      <c r="C19" s="43">
        <v>27133.509127497437</v>
      </c>
      <c r="D19" s="48">
        <v>0</v>
      </c>
      <c r="E19" s="43">
        <f aca="true" t="shared" si="8" ref="E19:E30">C19+D19</f>
        <v>27133.509127497437</v>
      </c>
      <c r="F19" s="43">
        <v>24606.278955403854</v>
      </c>
      <c r="G19" s="43">
        <v>1995.2014194263602</v>
      </c>
      <c r="H19" s="43">
        <f t="shared" si="0"/>
        <v>22611.077535977493</v>
      </c>
      <c r="I19" s="30">
        <f t="shared" si="4"/>
        <v>4522.431591519944</v>
      </c>
      <c r="J19" s="32">
        <f t="shared" si="1"/>
        <v>20.000955656907998</v>
      </c>
      <c r="K19" s="36">
        <f t="shared" si="5"/>
        <v>0.21608432444554637</v>
      </c>
      <c r="L19" s="30">
        <f t="shared" si="6"/>
        <v>2527.230172093583</v>
      </c>
      <c r="M19" s="34">
        <f t="shared" si="2"/>
        <v>10.270671874743462</v>
      </c>
      <c r="N19" s="38">
        <f t="shared" si="7"/>
        <v>66.60227655319613</v>
      </c>
    </row>
    <row r="20" spans="1:14" s="4" customFormat="1" ht="12.75">
      <c r="A20" s="17">
        <f t="shared" si="3"/>
        <v>2019</v>
      </c>
      <c r="B20" s="17" t="s">
        <v>15</v>
      </c>
      <c r="C20" s="43">
        <v>28551.067017858702</v>
      </c>
      <c r="D20" s="91">
        <v>0</v>
      </c>
      <c r="E20" s="43">
        <f t="shared" si="8"/>
        <v>28551.067017858702</v>
      </c>
      <c r="F20" s="43">
        <v>24893.09445872483</v>
      </c>
      <c r="G20" s="43">
        <v>2041.4456948504048</v>
      </c>
      <c r="H20" s="43">
        <f t="shared" si="0"/>
        <v>22851.648763874426</v>
      </c>
      <c r="I20" s="30">
        <f t="shared" si="4"/>
        <v>5699.418253984277</v>
      </c>
      <c r="J20" s="32">
        <f t="shared" si="1"/>
        <v>24.940949832006602</v>
      </c>
      <c r="K20" s="36">
        <f t="shared" si="5"/>
        <v>1129.0885012093931</v>
      </c>
      <c r="L20" s="30">
        <f t="shared" si="6"/>
        <v>3657.972559133872</v>
      </c>
      <c r="M20" s="34">
        <f t="shared" si="2"/>
        <v>14.694728151211356</v>
      </c>
      <c r="N20" s="38">
        <f t="shared" si="7"/>
        <v>1168.6631132613875</v>
      </c>
    </row>
    <row r="21" spans="1:14" s="4" customFormat="1" ht="12.75">
      <c r="A21" s="17">
        <f t="shared" si="3"/>
        <v>2020</v>
      </c>
      <c r="B21" s="17" t="s">
        <v>16</v>
      </c>
      <c r="C21" s="43">
        <v>27994.626565283546</v>
      </c>
      <c r="D21" s="91">
        <f aca="true" t="shared" si="9" ref="D21:D31">D20+C39+E39+K39</f>
        <v>0</v>
      </c>
      <c r="E21" s="43">
        <f t="shared" si="8"/>
        <v>27994.626565283546</v>
      </c>
      <c r="F21" s="43">
        <v>25205.928535800045</v>
      </c>
      <c r="G21" s="43">
        <v>2088.462209365558</v>
      </c>
      <c r="H21" s="43">
        <f t="shared" si="0"/>
        <v>23117.466326434485</v>
      </c>
      <c r="I21" s="30">
        <f t="shared" si="4"/>
        <v>4877.160238849061</v>
      </c>
      <c r="J21" s="32">
        <f t="shared" si="1"/>
        <v>21.09729574158436</v>
      </c>
      <c r="K21" s="36">
        <f t="shared" si="5"/>
        <v>253.66697356216537</v>
      </c>
      <c r="L21" s="30">
        <f t="shared" si="6"/>
        <v>2788.698029483501</v>
      </c>
      <c r="M21" s="34">
        <f t="shared" si="2"/>
        <v>11.06365919241065</v>
      </c>
      <c r="N21" s="38">
        <f t="shared" si="7"/>
        <v>268.10517590349264</v>
      </c>
    </row>
    <row r="22" spans="1:14" s="4" customFormat="1" ht="12.75">
      <c r="A22" s="17">
        <f t="shared" si="3"/>
        <v>2021</v>
      </c>
      <c r="B22" s="17" t="s">
        <v>14</v>
      </c>
      <c r="C22" s="43">
        <v>28141.719762651013</v>
      </c>
      <c r="D22" s="91">
        <f t="shared" si="9"/>
        <v>0</v>
      </c>
      <c r="E22" s="43">
        <f t="shared" si="8"/>
        <v>28141.719762651013</v>
      </c>
      <c r="F22" s="43">
        <v>25316.416253234296</v>
      </c>
      <c r="G22" s="43">
        <v>2136.2343409014484</v>
      </c>
      <c r="H22" s="43">
        <f t="shared" si="0"/>
        <v>23180.181912332846</v>
      </c>
      <c r="I22" s="30">
        <f t="shared" si="4"/>
        <v>4961.537850318167</v>
      </c>
      <c r="J22" s="32">
        <f t="shared" si="1"/>
        <v>21.40422309489477</v>
      </c>
      <c r="K22" s="36">
        <f t="shared" si="5"/>
        <v>325.50146785159814</v>
      </c>
      <c r="L22" s="30">
        <f t="shared" si="6"/>
        <v>2825.303509416717</v>
      </c>
      <c r="M22" s="34">
        <f t="shared" si="2"/>
        <v>11.159966249392706</v>
      </c>
      <c r="N22" s="38">
        <f t="shared" si="7"/>
        <v>293.66188409328606</v>
      </c>
    </row>
    <row r="23" spans="1:14" s="4" customFormat="1" ht="12.75">
      <c r="A23" s="17">
        <f t="shared" si="3"/>
        <v>2022</v>
      </c>
      <c r="B23" s="17" t="s">
        <v>65</v>
      </c>
      <c r="C23" s="43">
        <v>28271.816006875466</v>
      </c>
      <c r="D23" s="91">
        <f t="shared" si="9"/>
        <v>0</v>
      </c>
      <c r="E23" s="43">
        <f t="shared" si="8"/>
        <v>28271.816006875466</v>
      </c>
      <c r="F23" s="43">
        <v>25540.189209268094</v>
      </c>
      <c r="G23" s="43">
        <v>2184.7465153952003</v>
      </c>
      <c r="H23" s="43">
        <f t="shared" si="0"/>
        <v>23355.442693872894</v>
      </c>
      <c r="I23" s="30">
        <f t="shared" si="4"/>
        <v>4916.373313002572</v>
      </c>
      <c r="J23" s="32">
        <f t="shared" si="1"/>
        <v>21.0502253262463</v>
      </c>
      <c r="K23" s="36">
        <f t="shared" si="5"/>
        <v>245.2847742279955</v>
      </c>
      <c r="L23" s="30">
        <f t="shared" si="6"/>
        <v>2731.6267976073723</v>
      </c>
      <c r="M23" s="34">
        <f t="shared" si="2"/>
        <v>10.695405485156359</v>
      </c>
      <c r="N23" s="38">
        <f t="shared" si="7"/>
        <v>177.60787668056219</v>
      </c>
    </row>
    <row r="24" spans="1:14" s="4" customFormat="1" ht="12.75">
      <c r="A24" s="17">
        <f t="shared" si="3"/>
        <v>2023</v>
      </c>
      <c r="B24" s="17" t="s">
        <v>64</v>
      </c>
      <c r="C24" s="43">
        <v>28898</v>
      </c>
      <c r="D24" s="91">
        <f t="shared" si="9"/>
        <v>0</v>
      </c>
      <c r="E24" s="43">
        <f t="shared" si="8"/>
        <v>28898</v>
      </c>
      <c r="F24" s="43">
        <v>25832.903255827194</v>
      </c>
      <c r="G24" s="43">
        <v>2234.0294854316176</v>
      </c>
      <c r="H24" s="43">
        <f t="shared" si="0"/>
        <v>23598.873770395578</v>
      </c>
      <c r="I24" s="30">
        <f t="shared" si="4"/>
        <v>5299.126229604422</v>
      </c>
      <c r="J24" s="32">
        <f t="shared" si="1"/>
        <v>22.454996289916572</v>
      </c>
      <c r="K24" s="36">
        <f t="shared" si="5"/>
        <v>579.3514755253091</v>
      </c>
      <c r="L24" s="30">
        <f t="shared" si="6"/>
        <v>3065.096744172806</v>
      </c>
      <c r="M24" s="34">
        <f t="shared" si="2"/>
        <v>11.865088154508552</v>
      </c>
      <c r="N24" s="38">
        <f t="shared" si="7"/>
        <v>481.8064185900839</v>
      </c>
    </row>
    <row r="25" spans="1:14" s="4" customFormat="1" ht="13.5" thickBot="1">
      <c r="A25" s="49">
        <f t="shared" si="3"/>
        <v>2024</v>
      </c>
      <c r="B25" s="49"/>
      <c r="C25" s="50">
        <v>28895</v>
      </c>
      <c r="D25" s="95">
        <f t="shared" si="9"/>
        <v>0</v>
      </c>
      <c r="E25" s="50">
        <f t="shared" si="8"/>
        <v>28895</v>
      </c>
      <c r="F25" s="50">
        <v>26180.278517781553</v>
      </c>
      <c r="G25" s="50">
        <v>2284.18220399574</v>
      </c>
      <c r="H25" s="50">
        <f t="shared" si="0"/>
        <v>23896.096313785813</v>
      </c>
      <c r="I25" s="51">
        <f t="shared" si="4"/>
        <v>4998.9036862141875</v>
      </c>
      <c r="J25" s="52">
        <f t="shared" si="1"/>
        <v>20.91933184639153</v>
      </c>
      <c r="K25" s="53">
        <f t="shared" si="5"/>
        <v>219.68442345702715</v>
      </c>
      <c r="L25" s="51">
        <f t="shared" si="6"/>
        <v>2714.721482218447</v>
      </c>
      <c r="M25" s="54">
        <f t="shared" si="2"/>
        <v>10.369337669095529</v>
      </c>
      <c r="N25" s="55">
        <f t="shared" si="7"/>
        <v>96.69363044028796</v>
      </c>
    </row>
    <row r="26" spans="1:14" s="4" customFormat="1" ht="12.75">
      <c r="A26" s="17">
        <f t="shared" si="3"/>
        <v>2025</v>
      </c>
      <c r="B26" s="17"/>
      <c r="C26" s="43">
        <v>28892</v>
      </c>
      <c r="D26" s="91">
        <f t="shared" si="9"/>
        <v>255.35</v>
      </c>
      <c r="E26" s="43">
        <f t="shared" si="8"/>
        <v>29147.35</v>
      </c>
      <c r="F26" s="43">
        <v>26572.4560211349</v>
      </c>
      <c r="G26" s="43">
        <v>2334</v>
      </c>
      <c r="H26" s="43">
        <f t="shared" si="0"/>
        <v>24238.4560211349</v>
      </c>
      <c r="I26" s="30">
        <f t="shared" si="4"/>
        <v>4908.893978865097</v>
      </c>
      <c r="J26" s="32">
        <f t="shared" si="1"/>
        <v>20.252502777341718</v>
      </c>
      <c r="K26" s="36">
        <f t="shared" si="5"/>
        <v>61.20277463811726</v>
      </c>
      <c r="L26" s="30">
        <f t="shared" si="6"/>
        <v>2574.893978865097</v>
      </c>
      <c r="M26" s="34">
        <f t="shared" si="2"/>
        <v>9.690086519729704</v>
      </c>
      <c r="N26" s="38">
        <f t="shared" si="7"/>
        <v>-82.35162324839621</v>
      </c>
    </row>
    <row r="27" spans="1:14" s="4" customFormat="1" ht="12.75">
      <c r="A27" s="17">
        <f t="shared" si="3"/>
        <v>2026</v>
      </c>
      <c r="B27" s="17"/>
      <c r="C27" s="43">
        <v>28889</v>
      </c>
      <c r="D27" s="91">
        <f t="shared" si="9"/>
        <v>805.35</v>
      </c>
      <c r="E27" s="43">
        <f t="shared" si="8"/>
        <v>29694.35</v>
      </c>
      <c r="F27" s="43">
        <v>27067.6000853683</v>
      </c>
      <c r="G27" s="43">
        <v>2384</v>
      </c>
      <c r="H27" s="43">
        <f>F27-G27</f>
        <v>24683.6000853683</v>
      </c>
      <c r="I27" s="30">
        <f>E27-H27</f>
        <v>5010.749914631699</v>
      </c>
      <c r="J27" s="32">
        <f>I27/H27*100</f>
        <v>20.29991531746587</v>
      </c>
      <c r="K27" s="36">
        <f t="shared" si="5"/>
        <v>74.02989755804083</v>
      </c>
      <c r="L27" s="30">
        <f t="shared" si="6"/>
        <v>2626.7499146316986</v>
      </c>
      <c r="M27" s="34">
        <f t="shared" si="2"/>
        <v>9.704406398599106</v>
      </c>
      <c r="N27" s="38">
        <f t="shared" si="7"/>
        <v>-80.01009390513354</v>
      </c>
    </row>
    <row r="28" spans="1:14" s="4" customFormat="1" ht="12.75">
      <c r="A28" s="17">
        <f t="shared" si="3"/>
        <v>2027</v>
      </c>
      <c r="B28" s="17"/>
      <c r="C28" s="43">
        <v>28883</v>
      </c>
      <c r="D28" s="91">
        <f t="shared" si="9"/>
        <v>2556.35</v>
      </c>
      <c r="E28" s="43">
        <f t="shared" si="8"/>
        <v>31439.35</v>
      </c>
      <c r="F28" s="43">
        <v>27665.21915802903</v>
      </c>
      <c r="G28" s="43">
        <v>2434</v>
      </c>
      <c r="H28" s="43">
        <f>F28-G28</f>
        <v>25231.21915802903</v>
      </c>
      <c r="I28" s="30">
        <f>E28-H28</f>
        <v>6208.130841970968</v>
      </c>
      <c r="J28" s="32">
        <f>I28/H28*100</f>
        <v>24.604957862273682</v>
      </c>
      <c r="K28" s="36">
        <f t="shared" si="5"/>
        <v>1161.8870103651643</v>
      </c>
      <c r="L28" s="30">
        <f t="shared" si="6"/>
        <v>3774.1308419709676</v>
      </c>
      <c r="M28" s="34">
        <f t="shared" si="2"/>
        <v>13.642150529921377</v>
      </c>
      <c r="N28" s="38">
        <f t="shared" si="7"/>
        <v>1007.6089261680609</v>
      </c>
    </row>
    <row r="29" spans="1:14" s="4" customFormat="1" ht="12.75">
      <c r="A29" s="17">
        <f t="shared" si="3"/>
        <v>2028</v>
      </c>
      <c r="B29" s="17"/>
      <c r="C29" s="43">
        <v>28880</v>
      </c>
      <c r="D29" s="91">
        <f t="shared" si="9"/>
        <v>2556.35</v>
      </c>
      <c r="E29" s="43">
        <f t="shared" si="8"/>
        <v>31436.35</v>
      </c>
      <c r="F29" s="43">
        <v>28224.724306714037</v>
      </c>
      <c r="G29" s="43">
        <v>2484</v>
      </c>
      <c r="H29" s="43">
        <f>F29-G29</f>
        <v>25740.724306714037</v>
      </c>
      <c r="I29" s="30">
        <f>E29-H29</f>
        <v>5695.6256932859615</v>
      </c>
      <c r="J29" s="32">
        <f>I29/H29*100</f>
        <v>22.1269053093442</v>
      </c>
      <c r="K29" s="36">
        <f t="shared" si="5"/>
        <v>547.480831943154</v>
      </c>
      <c r="L29" s="30">
        <f t="shared" si="6"/>
        <v>3211.6256932859615</v>
      </c>
      <c r="M29" s="34">
        <f t="shared" si="2"/>
        <v>11.378767276468976</v>
      </c>
      <c r="N29" s="38">
        <f t="shared" si="7"/>
        <v>389.1532626145563</v>
      </c>
    </row>
    <row r="30" spans="1:14" s="4" customFormat="1" ht="12.75">
      <c r="A30" s="17">
        <f t="shared" si="3"/>
        <v>2029</v>
      </c>
      <c r="B30" s="13"/>
      <c r="C30" s="43">
        <v>28878</v>
      </c>
      <c r="D30" s="91">
        <f t="shared" si="9"/>
        <v>2756.35</v>
      </c>
      <c r="E30" s="43">
        <f t="shared" si="8"/>
        <v>31634.35</v>
      </c>
      <c r="F30" s="43">
        <v>28804.814369193406</v>
      </c>
      <c r="G30" s="43">
        <v>2534</v>
      </c>
      <c r="H30" s="43">
        <f>F30-G30</f>
        <v>26270.814369193406</v>
      </c>
      <c r="I30" s="30">
        <f>E30-H30</f>
        <v>5363.535630806593</v>
      </c>
      <c r="J30" s="32">
        <f>I30/H30*100</f>
        <v>20.416328003505548</v>
      </c>
      <c r="K30" s="36">
        <f t="shared" si="5"/>
        <v>109.37275696791403</v>
      </c>
      <c r="L30" s="30">
        <f t="shared" si="6"/>
        <v>2829.535630806593</v>
      </c>
      <c r="M30" s="34">
        <f t="shared" si="2"/>
        <v>9.823134405728947</v>
      </c>
      <c r="N30" s="38">
        <f t="shared" si="7"/>
        <v>-50.9458061127516</v>
      </c>
    </row>
    <row r="31" spans="1:14" s="4" customFormat="1" ht="12.75">
      <c r="A31" s="18">
        <f t="shared" si="3"/>
        <v>2030</v>
      </c>
      <c r="B31" s="18"/>
      <c r="C31" s="44">
        <v>28875</v>
      </c>
      <c r="D31" s="92">
        <f t="shared" si="9"/>
        <v>3421.0099999999998</v>
      </c>
      <c r="E31" s="44">
        <f>C31+D31</f>
        <v>32296.01</v>
      </c>
      <c r="F31" s="44">
        <v>29397.66178369829</v>
      </c>
      <c r="G31" s="44">
        <v>2584</v>
      </c>
      <c r="H31" s="44">
        <f>F31-G31</f>
        <v>26813.66178369829</v>
      </c>
      <c r="I31" s="31">
        <f>E31-H31</f>
        <v>5482.348216301707</v>
      </c>
      <c r="J31" s="33">
        <f>I31/H31*100</f>
        <v>20.44610042644295</v>
      </c>
      <c r="K31" s="37">
        <f t="shared" si="5"/>
        <v>119.6158595620509</v>
      </c>
      <c r="L31" s="31">
        <f t="shared" si="6"/>
        <v>2898.348216301707</v>
      </c>
      <c r="M31" s="35">
        <f t="shared" si="2"/>
        <v>9.859111372962698</v>
      </c>
      <c r="N31" s="39">
        <f t="shared" si="7"/>
        <v>-41.417962068124325</v>
      </c>
    </row>
    <row r="32" spans="1:4" ht="12" customHeight="1">
      <c r="A32" s="5"/>
      <c r="B32" s="5" t="s">
        <v>66</v>
      </c>
      <c r="C32" s="5"/>
      <c r="D32" s="5"/>
    </row>
    <row r="33" spans="1:11" ht="12.75">
      <c r="A33" s="6"/>
      <c r="B33" s="6"/>
      <c r="C33" s="6"/>
      <c r="D33" s="6"/>
      <c r="E33" s="4"/>
      <c r="F33" s="4"/>
      <c r="G33" s="4"/>
      <c r="H33" s="4"/>
      <c r="I33" s="4"/>
      <c r="J33" s="4"/>
      <c r="K33" s="4"/>
    </row>
    <row r="34" spans="1:4" ht="12.75">
      <c r="A34" s="2"/>
      <c r="B34" s="2"/>
      <c r="C34" s="2"/>
      <c r="D34" s="2"/>
    </row>
    <row r="35" spans="1:11" ht="15.75">
      <c r="A35" s="93"/>
      <c r="B35" s="108" t="s">
        <v>62</v>
      </c>
      <c r="C35" s="109"/>
      <c r="D35" s="109"/>
      <c r="E35" s="110"/>
      <c r="H35" s="71"/>
      <c r="I35" s="71"/>
      <c r="J35" s="72" t="s">
        <v>40</v>
      </c>
      <c r="K35" s="71"/>
    </row>
    <row r="36" spans="1:11" ht="15">
      <c r="A36" s="93"/>
      <c r="B36" s="56"/>
      <c r="C36" s="57" t="s">
        <v>33</v>
      </c>
      <c r="D36" s="57" t="s">
        <v>34</v>
      </c>
      <c r="E36" s="58"/>
      <c r="H36" s="98" t="s">
        <v>41</v>
      </c>
      <c r="I36" s="73" t="s">
        <v>42</v>
      </c>
      <c r="J36" s="73" t="s">
        <v>43</v>
      </c>
      <c r="K36" s="73" t="s">
        <v>44</v>
      </c>
    </row>
    <row r="37" spans="1:11" ht="15">
      <c r="A37" s="93"/>
      <c r="B37" s="59"/>
      <c r="C37" s="60" t="s">
        <v>35</v>
      </c>
      <c r="D37" s="60" t="s">
        <v>35</v>
      </c>
      <c r="E37" s="61" t="s">
        <v>36</v>
      </c>
      <c r="H37" s="98" t="s">
        <v>45</v>
      </c>
      <c r="I37" s="73" t="s">
        <v>8</v>
      </c>
      <c r="J37" s="73" t="s">
        <v>46</v>
      </c>
      <c r="K37" s="73" t="s">
        <v>47</v>
      </c>
    </row>
    <row r="38" spans="1:5" ht="15">
      <c r="A38" s="9"/>
      <c r="B38" s="62" t="s">
        <v>5</v>
      </c>
      <c r="C38" s="63" t="s">
        <v>8</v>
      </c>
      <c r="D38" s="63" t="s">
        <v>8</v>
      </c>
      <c r="E38" s="61" t="s">
        <v>8</v>
      </c>
    </row>
    <row r="39" spans="1:11" ht="12.75">
      <c r="A39" s="9"/>
      <c r="B39" s="70">
        <v>2020</v>
      </c>
      <c r="C39" s="64">
        <v>0</v>
      </c>
      <c r="D39" s="64">
        <v>0</v>
      </c>
      <c r="E39" s="64">
        <v>0</v>
      </c>
      <c r="H39" s="79">
        <v>1700</v>
      </c>
      <c r="I39" s="75">
        <f>H39+D39</f>
        <v>1700</v>
      </c>
      <c r="J39" s="78">
        <v>0.41</v>
      </c>
      <c r="K39" s="76">
        <f>D39*J39</f>
        <v>0</v>
      </c>
    </row>
    <row r="40" spans="1:11" ht="12.75">
      <c r="A40" s="9"/>
      <c r="B40" s="70">
        <v>2021</v>
      </c>
      <c r="C40" s="64">
        <v>0</v>
      </c>
      <c r="D40" s="64">
        <v>0</v>
      </c>
      <c r="E40" s="64">
        <v>0</v>
      </c>
      <c r="H40" s="74"/>
      <c r="I40" s="75">
        <f>I39+D40</f>
        <v>1700</v>
      </c>
      <c r="J40" s="78">
        <v>0.41</v>
      </c>
      <c r="K40" s="76">
        <f aca="true" t="shared" si="10" ref="K40:K49">D40*J40</f>
        <v>0</v>
      </c>
    </row>
    <row r="41" spans="1:11" ht="12.75">
      <c r="A41" s="9"/>
      <c r="B41" s="70">
        <v>2022</v>
      </c>
      <c r="C41" s="64">
        <v>0</v>
      </c>
      <c r="D41" s="64">
        <v>0</v>
      </c>
      <c r="E41" s="64">
        <v>0</v>
      </c>
      <c r="H41" s="74"/>
      <c r="I41" s="75">
        <f aca="true" t="shared" si="11" ref="I41:I49">I40+D41</f>
        <v>1700</v>
      </c>
      <c r="J41" s="78">
        <v>0.41</v>
      </c>
      <c r="K41" s="76">
        <f t="shared" si="10"/>
        <v>0</v>
      </c>
    </row>
    <row r="42" spans="1:11" ht="12.75">
      <c r="A42" s="9"/>
      <c r="B42" s="70">
        <v>2023</v>
      </c>
      <c r="C42" s="64">
        <v>0</v>
      </c>
      <c r="D42" s="64">
        <v>0</v>
      </c>
      <c r="E42" s="64">
        <v>0</v>
      </c>
      <c r="H42" s="74"/>
      <c r="I42" s="75">
        <f t="shared" si="11"/>
        <v>1700</v>
      </c>
      <c r="J42" s="78">
        <v>0.41</v>
      </c>
      <c r="K42" s="76">
        <f t="shared" si="10"/>
        <v>0</v>
      </c>
    </row>
    <row r="43" spans="2:11" ht="12.75">
      <c r="B43" s="70">
        <v>2024</v>
      </c>
      <c r="C43" s="64">
        <v>0</v>
      </c>
      <c r="D43" s="64">
        <v>0</v>
      </c>
      <c r="E43" s="64">
        <v>0</v>
      </c>
      <c r="H43" s="74"/>
      <c r="I43" s="75">
        <f t="shared" si="11"/>
        <v>1700</v>
      </c>
      <c r="J43" s="78">
        <v>0.41</v>
      </c>
      <c r="K43" s="76">
        <f t="shared" si="10"/>
        <v>0</v>
      </c>
    </row>
    <row r="44" spans="2:11" ht="12.75">
      <c r="B44" s="70">
        <v>2025</v>
      </c>
      <c r="C44" s="64">
        <v>200</v>
      </c>
      <c r="D44" s="64">
        <v>135</v>
      </c>
      <c r="E44" s="64">
        <v>0</v>
      </c>
      <c r="H44" s="74"/>
      <c r="I44" s="75">
        <f t="shared" si="11"/>
        <v>1835</v>
      </c>
      <c r="J44" s="78">
        <v>0.41</v>
      </c>
      <c r="K44" s="76">
        <f t="shared" si="10"/>
        <v>55.349999999999994</v>
      </c>
    </row>
    <row r="45" spans="2:11" ht="12.75">
      <c r="B45" s="70">
        <v>2026</v>
      </c>
      <c r="C45" s="64">
        <v>550</v>
      </c>
      <c r="D45" s="64">
        <v>0</v>
      </c>
      <c r="E45" s="64">
        <v>0</v>
      </c>
      <c r="H45" s="74"/>
      <c r="I45" s="75">
        <f t="shared" si="11"/>
        <v>1835</v>
      </c>
      <c r="J45" s="78">
        <v>0.41</v>
      </c>
      <c r="K45" s="76">
        <f t="shared" si="10"/>
        <v>0</v>
      </c>
    </row>
    <row r="46" spans="2:11" ht="12.75">
      <c r="B46" s="70">
        <v>2027</v>
      </c>
      <c r="C46" s="64">
        <v>0</v>
      </c>
      <c r="D46" s="64">
        <v>0</v>
      </c>
      <c r="E46" s="64">
        <v>1751</v>
      </c>
      <c r="H46" s="74"/>
      <c r="I46" s="75">
        <f t="shared" si="11"/>
        <v>1835</v>
      </c>
      <c r="J46" s="78">
        <v>0.41</v>
      </c>
      <c r="K46" s="76">
        <f t="shared" si="10"/>
        <v>0</v>
      </c>
    </row>
    <row r="47" spans="2:11" ht="12.75">
      <c r="B47" s="70">
        <v>2028</v>
      </c>
      <c r="C47" s="64">
        <v>0</v>
      </c>
      <c r="D47" s="64">
        <v>0</v>
      </c>
      <c r="E47" s="64">
        <v>0</v>
      </c>
      <c r="H47" s="74"/>
      <c r="I47" s="75">
        <f t="shared" si="11"/>
        <v>1835</v>
      </c>
      <c r="J47" s="78">
        <v>0.41</v>
      </c>
      <c r="K47" s="76">
        <f t="shared" si="10"/>
        <v>0</v>
      </c>
    </row>
    <row r="48" spans="2:11" ht="12.75">
      <c r="B48" s="70">
        <v>2029</v>
      </c>
      <c r="C48" s="64">
        <v>200</v>
      </c>
      <c r="D48" s="64">
        <v>0</v>
      </c>
      <c r="E48" s="64">
        <v>0</v>
      </c>
      <c r="H48" s="74"/>
      <c r="I48" s="75">
        <f t="shared" si="11"/>
        <v>1835</v>
      </c>
      <c r="J48" s="78">
        <v>0.41</v>
      </c>
      <c r="K48" s="76">
        <f t="shared" si="10"/>
        <v>0</v>
      </c>
    </row>
    <row r="49" spans="2:11" ht="12.75">
      <c r="B49" s="70">
        <v>2030</v>
      </c>
      <c r="C49" s="64">
        <v>550</v>
      </c>
      <c r="D49" s="64">
        <f>447-74.5-74.5</f>
        <v>298</v>
      </c>
      <c r="E49" s="64">
        <v>0</v>
      </c>
      <c r="H49" s="74"/>
      <c r="I49" s="75">
        <f t="shared" si="11"/>
        <v>2133</v>
      </c>
      <c r="J49" s="78">
        <f>((165*0.41)+(282*0.37))/447</f>
        <v>0.38476510067114095</v>
      </c>
      <c r="K49" s="76">
        <f t="shared" si="10"/>
        <v>114.66</v>
      </c>
    </row>
    <row r="50" spans="2:11" ht="28.5" customHeight="1">
      <c r="B50" s="65" t="s">
        <v>37</v>
      </c>
      <c r="C50" s="66">
        <f>SUM(C39:C49)</f>
        <v>1500</v>
      </c>
      <c r="D50" s="66">
        <f>SUM(D39:D49)</f>
        <v>433</v>
      </c>
      <c r="E50" s="66">
        <f>SUM(E39:E49)</f>
        <v>1751</v>
      </c>
      <c r="H50" s="74"/>
      <c r="I50" s="74"/>
      <c r="J50" s="74"/>
      <c r="K50" s="99">
        <f>SUM(K39:K49)</f>
        <v>170.01</v>
      </c>
    </row>
    <row r="51" spans="2:5" ht="15">
      <c r="B51" s="67" t="s">
        <v>38</v>
      </c>
      <c r="C51" s="66">
        <f>C50</f>
        <v>1500</v>
      </c>
      <c r="D51" s="101">
        <f>K50</f>
        <v>170.01</v>
      </c>
      <c r="E51" s="66">
        <f>E50</f>
        <v>1751</v>
      </c>
    </row>
    <row r="52" spans="2:5" ht="30">
      <c r="B52" s="67" t="s">
        <v>39</v>
      </c>
      <c r="C52" s="66">
        <f>SUM(C51:E51)</f>
        <v>3421.01</v>
      </c>
      <c r="D52" s="69"/>
      <c r="E52" s="69"/>
    </row>
    <row r="55" spans="2:7" ht="15">
      <c r="B55" s="80" t="s">
        <v>48</v>
      </c>
      <c r="C55" s="81"/>
      <c r="D55" s="81"/>
      <c r="E55" s="81"/>
      <c r="F55" s="81"/>
      <c r="G55" s="82"/>
    </row>
    <row r="56" spans="2:7" ht="12.75">
      <c r="B56" s="83"/>
      <c r="C56" s="84"/>
      <c r="D56" s="84"/>
      <c r="E56" s="84"/>
      <c r="F56" s="84"/>
      <c r="G56" s="85"/>
    </row>
    <row r="57" spans="2:7" ht="12.75">
      <c r="B57" s="83" t="s">
        <v>49</v>
      </c>
      <c r="C57" s="84"/>
      <c r="D57" s="86">
        <v>0.52</v>
      </c>
      <c r="E57" s="84"/>
      <c r="F57" s="84"/>
      <c r="G57" s="85"/>
    </row>
    <row r="58" spans="2:7" ht="12.75">
      <c r="B58" s="83" t="s">
        <v>50</v>
      </c>
      <c r="C58" s="84"/>
      <c r="D58" s="86">
        <v>0.48</v>
      </c>
      <c r="E58" s="84"/>
      <c r="F58" s="84"/>
      <c r="G58" s="85"/>
    </row>
    <row r="59" spans="2:7" ht="12.75">
      <c r="B59" s="83" t="s">
        <v>51</v>
      </c>
      <c r="C59" s="84"/>
      <c r="D59" s="86">
        <v>0.44</v>
      </c>
      <c r="E59" s="84"/>
      <c r="F59" s="84"/>
      <c r="G59" s="85"/>
    </row>
    <row r="60" spans="2:7" ht="12.75">
      <c r="B60" s="83" t="s">
        <v>52</v>
      </c>
      <c r="C60" s="84"/>
      <c r="D60" s="86">
        <v>0.41</v>
      </c>
      <c r="E60" s="84"/>
      <c r="F60" s="84"/>
      <c r="G60" s="85"/>
    </row>
    <row r="61" spans="2:7" ht="12.75">
      <c r="B61" s="83" t="s">
        <v>53</v>
      </c>
      <c r="C61" s="84"/>
      <c r="D61" s="86">
        <v>0.37</v>
      </c>
      <c r="E61" s="84"/>
      <c r="F61" s="84"/>
      <c r="G61" s="85"/>
    </row>
    <row r="62" spans="2:7" ht="12.75">
      <c r="B62" s="87" t="s">
        <v>54</v>
      </c>
      <c r="C62" s="88"/>
      <c r="D62" s="89">
        <v>0.33</v>
      </c>
      <c r="E62" s="88"/>
      <c r="F62" s="88"/>
      <c r="G62" s="90"/>
    </row>
  </sheetData>
  <sheetProtection/>
  <mergeCells count="11">
    <mergeCell ref="L12:M12"/>
    <mergeCell ref="I13:J13"/>
    <mergeCell ref="L13:M13"/>
    <mergeCell ref="I14:J14"/>
    <mergeCell ref="L14:M14"/>
    <mergeCell ref="B35:E35"/>
    <mergeCell ref="A6:N6"/>
    <mergeCell ref="A7:N7"/>
    <mergeCell ref="I11:K11"/>
    <mergeCell ref="L11:N11"/>
    <mergeCell ref="I12:J12"/>
  </mergeCells>
  <conditionalFormatting sqref="N20:N31">
    <cfRule type="cellIs" priority="3" dxfId="18" operator="lessThan" stopIfTrue="1">
      <formula>0</formula>
    </cfRule>
  </conditionalFormatting>
  <conditionalFormatting sqref="C39:E49">
    <cfRule type="cellIs" priority="2" dxfId="0" operator="greaterThan" stopIfTrue="1">
      <formula>0</formula>
    </cfRule>
  </conditionalFormatting>
  <conditionalFormatting sqref="K39:K49">
    <cfRule type="cellIs" priority="1" dxfId="19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2017-11-17T18:11:38Z</dcterms:created>
  <dcterms:modified xsi:type="dcterms:W3CDTF">2017-11-17T18:11:44Z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Stat">
    <vt:lpwstr>Draft</vt:lpwstr>
  </property>
  <property fmtid="{D5CDD505-2E9C-101B-9397-08002B2CF9AE}" pid="4" name="Commen">
    <vt:lpwstr>Scrubbed</vt:lpwstr>
  </property>
  <property fmtid="{D5CDD505-2E9C-101B-9397-08002B2CF9AE}" pid="5" name="Document Ty">
    <vt:lpwstr>Question</vt:lpwstr>
  </property>
</Properties>
</file>