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ulatory Filings with FPSC\Docket No. 20170260-EI (SoBRA Cost Effectiveness)\Discovery\Staff's 1st IRR\"/>
    </mc:Choice>
  </mc:AlternateContent>
  <bookViews>
    <workbookView xWindow="0" yWindow="0" windowWidth="22992" windowHeight="8184" activeTab="1" xr2:uid="{EBB25E97-D21E-4271-B6E7-BBDBEE7BE845}"/>
  </bookViews>
  <sheets>
    <sheet name="Tranche 1 - Without Incentive" sheetId="4" r:id="rId1"/>
    <sheet name="Tranche 1 - With Incentive" sheetId="2" r:id="rId2"/>
  </sheets>
  <externalReferences>
    <externalReference r:id="rId3"/>
  </externalReferences>
  <definedNames>
    <definedName name="CE_Ratio">'[1]RR Input'!$D$5</definedName>
    <definedName name="Debt_Ratio">'[1]RR Input'!$D$7</definedName>
    <definedName name="FixOM_Esc_Rate">'[1]RR Input'!$C$14</definedName>
    <definedName name="_xlnm.Print_Area" localSheetId="1">'Tranche 1 - With Incentive'!$B$1:$Y$72</definedName>
    <definedName name="Property_Tax_Rate">'[1]RR Input'!$C$12</definedName>
    <definedName name="PS_Ratio">'[1]RR Input'!$D$6</definedName>
    <definedName name="ROCE">'[1]RR Input'!$C$5</definedName>
    <definedName name="ROD">'[1]RR Input'!$C$7</definedName>
    <definedName name="Start_Year">'[1]RR Input'!$C$10</definedName>
    <definedName name="Tax_Column">[1]Tables!$D$247:$E$251</definedName>
    <definedName name="Tax_Dep_Table">[1]Tables!$D$215:$I$238</definedName>
    <definedName name="Tax_Rate">'[1]RR Input'!$C$11</definedName>
    <definedName name="Unit_1_Book_Life">'[1]RR Input'!$C$58</definedName>
    <definedName name="Unit_1_FixOM_Rate">'[1]RR Input'!$C$56</definedName>
    <definedName name="Unit_1_Fuel_Cost">[1]Tables!$E$4:$AH$4</definedName>
    <definedName name="Unit_1_Ins_Mon">'[1]RM Input'!$B$47</definedName>
    <definedName name="Unit_1_Ins_Yr">'[1]RM Input'!$A$47</definedName>
    <definedName name="Unit_1_MW">'[1]RR Input'!$C$41</definedName>
    <definedName name="Unit_1_Name">'[1]RM Input'!$E$47</definedName>
    <definedName name="Unit_1_Tax_Life">'[1]RR Input'!$C$59</definedName>
    <definedName name="Unit_1_Total_Cap_Ex">'[1]RR Input'!$C$91</definedName>
    <definedName name="Unit_1_VarOM_Rate">'[1]RR Input'!$C$57</definedName>
    <definedName name="Unit_2_Name">'[1]RM Input'!$E$48</definedName>
    <definedName name="VarOM_Esc_Rate">'[1]RR Input'!$C$15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6" i="2"/>
  <c r="D6" i="2"/>
  <c r="C6" i="2"/>
  <c r="D4" i="2"/>
  <c r="C4" i="2"/>
  <c r="T8" i="2"/>
  <c r="U8" i="2"/>
  <c r="V8" i="2"/>
  <c r="W8" i="2"/>
  <c r="X8" i="2"/>
  <c r="T9" i="2"/>
  <c r="U9" i="2"/>
  <c r="V9" i="2"/>
  <c r="W9" i="2"/>
  <c r="X9" i="2"/>
  <c r="T10" i="2"/>
  <c r="U10" i="2"/>
  <c r="V10" i="2"/>
  <c r="W10" i="2"/>
  <c r="X10" i="2"/>
  <c r="T11" i="2"/>
  <c r="U11" i="2"/>
  <c r="V11" i="2"/>
  <c r="W11" i="2"/>
  <c r="X11" i="2"/>
  <c r="T12" i="2"/>
  <c r="U12" i="2"/>
  <c r="V12" i="2"/>
  <c r="W12" i="2"/>
  <c r="X12" i="2"/>
  <c r="T13" i="2"/>
  <c r="U13" i="2"/>
  <c r="V13" i="2"/>
  <c r="W13" i="2"/>
  <c r="X13" i="2"/>
  <c r="T14" i="2"/>
  <c r="U14" i="2"/>
  <c r="V14" i="2"/>
  <c r="W14" i="2"/>
  <c r="X14" i="2"/>
  <c r="T15" i="2"/>
  <c r="U15" i="2"/>
  <c r="V15" i="2"/>
  <c r="W15" i="2"/>
  <c r="X15" i="2"/>
  <c r="T16" i="2"/>
  <c r="U16" i="2"/>
  <c r="V16" i="2"/>
  <c r="W16" i="2"/>
  <c r="X16" i="2"/>
  <c r="T17" i="2"/>
  <c r="U17" i="2"/>
  <c r="V17" i="2"/>
  <c r="W17" i="2"/>
  <c r="X17" i="2"/>
  <c r="T18" i="2"/>
  <c r="U18" i="2"/>
  <c r="V18" i="2"/>
  <c r="W18" i="2"/>
  <c r="X18" i="2"/>
  <c r="T19" i="2"/>
  <c r="U19" i="2"/>
  <c r="V19" i="2"/>
  <c r="W19" i="2"/>
  <c r="X19" i="2"/>
  <c r="T20" i="2"/>
  <c r="U20" i="2"/>
  <c r="V20" i="2"/>
  <c r="W20" i="2"/>
  <c r="X20" i="2"/>
  <c r="T21" i="2"/>
  <c r="U21" i="2"/>
  <c r="V21" i="2"/>
  <c r="W21" i="2"/>
  <c r="X21" i="2"/>
  <c r="T22" i="2"/>
  <c r="U22" i="2"/>
  <c r="V22" i="2"/>
  <c r="W22" i="2"/>
  <c r="X22" i="2"/>
  <c r="T23" i="2"/>
  <c r="U23" i="2"/>
  <c r="V23" i="2"/>
  <c r="W23" i="2"/>
  <c r="X23" i="2"/>
  <c r="T24" i="2"/>
  <c r="U24" i="2"/>
  <c r="V24" i="2"/>
  <c r="W24" i="2"/>
  <c r="X24" i="2"/>
  <c r="T25" i="2"/>
  <c r="U25" i="2"/>
  <c r="V25" i="2"/>
  <c r="W25" i="2"/>
  <c r="X25" i="2"/>
  <c r="T26" i="2"/>
  <c r="U26" i="2"/>
  <c r="V26" i="2"/>
  <c r="W26" i="2"/>
  <c r="X26" i="2"/>
  <c r="T27" i="2"/>
  <c r="U27" i="2"/>
  <c r="V27" i="2"/>
  <c r="W27" i="2"/>
  <c r="X27" i="2"/>
  <c r="T28" i="2"/>
  <c r="U28" i="2"/>
  <c r="V28" i="2"/>
  <c r="W28" i="2"/>
  <c r="X28" i="2"/>
  <c r="T29" i="2"/>
  <c r="U29" i="2"/>
  <c r="V29" i="2"/>
  <c r="W29" i="2"/>
  <c r="X29" i="2"/>
  <c r="U7" i="2"/>
  <c r="V7" i="2"/>
  <c r="W7" i="2"/>
  <c r="X7" i="2"/>
  <c r="T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U31" i="2"/>
  <c r="V31" i="2"/>
  <c r="W31" i="2"/>
  <c r="X31" i="2"/>
  <c r="S2" i="2"/>
  <c r="E5" i="2"/>
  <c r="E15" i="2"/>
  <c r="M3" i="2"/>
  <c r="M9" i="2"/>
  <c r="D47" i="2"/>
  <c r="D48" i="2"/>
  <c r="L9" i="2"/>
  <c r="D53" i="2"/>
  <c r="D49" i="2"/>
  <c r="D51" i="2"/>
  <c r="L3" i="2"/>
  <c r="M4" i="2"/>
  <c r="D55" i="2"/>
  <c r="D56" i="2"/>
  <c r="E47" i="2"/>
  <c r="E48" i="2"/>
  <c r="E53" i="2"/>
  <c r="E49" i="2"/>
  <c r="E51" i="2"/>
  <c r="E55" i="2"/>
  <c r="E56" i="2"/>
  <c r="D52" i="2"/>
  <c r="E52" i="2"/>
  <c r="E58" i="2"/>
  <c r="E59" i="2"/>
  <c r="E60" i="2"/>
  <c r="L2" i="2"/>
  <c r="E62" i="2"/>
  <c r="E68" i="2"/>
  <c r="D68" i="2"/>
  <c r="D58" i="2"/>
  <c r="D59" i="2"/>
  <c r="D60" i="2"/>
  <c r="D62" i="2"/>
  <c r="E42" i="2"/>
  <c r="D42" i="2"/>
  <c r="E3" i="2"/>
  <c r="E14" i="2"/>
  <c r="M8" i="2"/>
  <c r="E21" i="2"/>
  <c r="E22" i="2"/>
  <c r="E27" i="2"/>
  <c r="E23" i="2"/>
  <c r="E25" i="2"/>
  <c r="E29" i="2"/>
  <c r="D21" i="2"/>
  <c r="D22" i="2"/>
  <c r="L8" i="2"/>
  <c r="D27" i="2"/>
  <c r="D23" i="2"/>
  <c r="D25" i="2"/>
  <c r="D29" i="2"/>
  <c r="D30" i="2"/>
  <c r="E30" i="2"/>
  <c r="D26" i="2"/>
  <c r="E26" i="2"/>
  <c r="E32" i="2"/>
  <c r="E33" i="2"/>
  <c r="E34" i="2"/>
  <c r="E36" i="2"/>
  <c r="D32" i="2"/>
  <c r="D33" i="2"/>
  <c r="D34" i="2"/>
  <c r="D36" i="2"/>
  <c r="C47" i="2"/>
  <c r="C48" i="2"/>
  <c r="C49" i="2"/>
  <c r="B48" i="2"/>
  <c r="B49" i="2"/>
  <c r="B47" i="2"/>
  <c r="E54" i="2"/>
  <c r="D54" i="2"/>
  <c r="B22" i="2"/>
  <c r="C22" i="2"/>
  <c r="B23" i="2"/>
  <c r="C23" i="2"/>
  <c r="C21" i="2"/>
  <c r="B21" i="2"/>
  <c r="E28" i="2"/>
  <c r="D28" i="2"/>
  <c r="E61" i="2"/>
  <c r="D61" i="2"/>
  <c r="Q3" i="2"/>
  <c r="E57" i="2"/>
  <c r="D57" i="2"/>
  <c r="E35" i="2"/>
  <c r="E31" i="2"/>
  <c r="D35" i="2"/>
  <c r="D31" i="2"/>
  <c r="E63" i="2"/>
  <c r="E37" i="2"/>
  <c r="I3" i="2"/>
  <c r="K3" i="2"/>
  <c r="I4" i="2"/>
  <c r="K4" i="2"/>
  <c r="L4" i="2"/>
  <c r="K2" i="2"/>
  <c r="J8" i="2"/>
  <c r="K8" i="2"/>
  <c r="J9" i="2"/>
  <c r="K9" i="2"/>
  <c r="H8" i="2"/>
  <c r="H9" i="2"/>
  <c r="I8" i="2"/>
  <c r="I9" i="2"/>
  <c r="I2" i="2"/>
  <c r="H4" i="2"/>
  <c r="H3" i="2"/>
  <c r="D15" i="2"/>
  <c r="C15" i="2"/>
  <c r="D14" i="2"/>
  <c r="C14" i="2"/>
  <c r="C5" i="2"/>
  <c r="D5" i="2"/>
  <c r="E7" i="2"/>
  <c r="E8" i="2"/>
  <c r="C3" i="2"/>
  <c r="D3" i="2"/>
  <c r="E3" i="4"/>
  <c r="E7" i="4"/>
  <c r="L2" i="4"/>
  <c r="M2" i="4"/>
  <c r="I8" i="4"/>
  <c r="J8" i="4"/>
  <c r="K8" i="4"/>
  <c r="L8" i="4"/>
  <c r="M8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D29" i="4"/>
  <c r="D27" i="4"/>
  <c r="M3" i="4"/>
  <c r="D30" i="4"/>
  <c r="E29" i="4"/>
  <c r="E25" i="4"/>
  <c r="E27" i="4"/>
  <c r="E30" i="4"/>
  <c r="E31" i="4"/>
  <c r="D31" i="4"/>
  <c r="T30" i="4"/>
  <c r="S30" i="4"/>
  <c r="R30" i="4"/>
  <c r="Q30" i="4"/>
  <c r="E28" i="4"/>
  <c r="D28" i="4"/>
  <c r="E22" i="4"/>
  <c r="D22" i="4"/>
  <c r="C22" i="4"/>
  <c r="E2" i="4"/>
  <c r="E6" i="4"/>
  <c r="I7" i="4"/>
  <c r="J7" i="4"/>
  <c r="K7" i="4"/>
  <c r="L7" i="4"/>
  <c r="M7" i="4"/>
  <c r="D18" i="4"/>
  <c r="D16" i="4"/>
  <c r="D19" i="4"/>
  <c r="E18" i="4"/>
  <c r="E14" i="4"/>
  <c r="E16" i="4"/>
  <c r="E19" i="4"/>
  <c r="E20" i="4"/>
  <c r="D20" i="4"/>
  <c r="E17" i="4"/>
  <c r="D17" i="4"/>
  <c r="L3" i="4"/>
  <c r="D41" i="2"/>
  <c r="D43" i="2"/>
  <c r="D44" i="2"/>
  <c r="D67" i="2"/>
  <c r="D69" i="2"/>
  <c r="D70" i="2"/>
  <c r="D20" i="2"/>
  <c r="D39" i="2"/>
  <c r="D46" i="2"/>
  <c r="C46" i="2"/>
  <c r="D65" i="2"/>
  <c r="E67" i="2"/>
  <c r="E69" i="2"/>
  <c r="E70" i="2"/>
  <c r="E41" i="2"/>
  <c r="E43" i="2"/>
  <c r="E44" i="2"/>
  <c r="E20" i="2"/>
  <c r="E46" i="2"/>
  <c r="E65" i="2"/>
  <c r="E39" i="2"/>
  <c r="D37" i="2"/>
  <c r="D63" i="2"/>
  <c r="D7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Rocha, James J.</author>
    <author>Chilson, Julie D.</author>
  </authors>
  <commentList>
    <comment ref="L3" authorId="0" shapeId="0" xr:uid="{F0D5929C-3403-413B-AD0C-683265EA8CA9}">
      <text>
        <r>
          <rPr>
            <b/>
            <sz val="9"/>
            <color indexed="81"/>
            <rFont val="Tahoma"/>
            <family val="2"/>
          </rPr>
          <t>Rocha, James J.:</t>
        </r>
        <r>
          <rPr>
            <sz val="9"/>
            <color indexed="81"/>
            <rFont val="Tahoma"/>
            <family val="2"/>
          </rPr>
          <t xml:space="preserve">
previous</t>
        </r>
      </text>
    </comment>
    <comment ref="M3" authorId="0" shapeId="0" xr:uid="{C999FBC1-245B-4C45-B158-A2324BE51EF2}">
      <text>
        <r>
          <rPr>
            <b/>
            <sz val="9"/>
            <color indexed="81"/>
            <rFont val="Tahoma"/>
            <family val="2"/>
          </rPr>
          <t>Rocha, James J.:</t>
        </r>
        <r>
          <rPr>
            <sz val="9"/>
            <color indexed="81"/>
            <rFont val="Tahoma"/>
            <family val="2"/>
          </rPr>
          <t xml:space="preserve">
after tax reform</t>
        </r>
      </text>
    </comment>
    <comment ref="D18" authorId="1" shapeId="0" xr:uid="{4FEEE668-36F7-41AD-A702-FEA447E33FB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Tax deprec 5-yr plus
Bonus used in first year (second parameter)</t>
        </r>
      </text>
    </comment>
    <comment ref="E18" authorId="0" shapeId="0" xr:uid="{6B53109A-692E-46D9-909C-72C9A26C525F}">
      <text>
        <r>
          <rPr>
            <b/>
            <sz val="9"/>
            <color indexed="81"/>
            <rFont val="Tahoma"/>
            <family val="2"/>
          </rPr>
          <t>Rocha, James J.:</t>
        </r>
        <r>
          <rPr>
            <sz val="9"/>
            <color indexed="81"/>
            <rFont val="Tahoma"/>
            <family val="2"/>
          </rPr>
          <t xml:space="preserve">
Tax deprec - remaining</t>
        </r>
      </text>
    </comment>
    <comment ref="D29" authorId="1" shapeId="0" xr:uid="{7A3D31CE-8314-409C-9ED2-BCB3ABFAEE5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Bonus used in first year is second parameter</t>
        </r>
      </text>
    </comment>
    <comment ref="E29" authorId="0" shapeId="0" xr:uid="{FB800BC3-4FD4-4FB9-9469-7A5704C134C9}">
      <text>
        <r>
          <rPr>
            <b/>
            <sz val="9"/>
            <color indexed="81"/>
            <rFont val="Tahoma"/>
            <family val="2"/>
          </rPr>
          <t>Rocha, James J.:</t>
        </r>
        <r>
          <rPr>
            <sz val="9"/>
            <color indexed="81"/>
            <rFont val="Tahoma"/>
            <family val="2"/>
          </rPr>
          <t xml:space="preserve">
Tax deprec - remaining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Rocha, James J.</author>
    <author>Chilson, Julie D.</author>
  </authors>
  <commentList>
    <comment ref="L4" authorId="0" shapeId="0" xr:uid="{1554C75B-53F7-4355-B348-185B076EA9FD}">
      <text>
        <r>
          <rPr>
            <b/>
            <sz val="9"/>
            <color indexed="81"/>
            <rFont val="Tahoma"/>
            <family val="2"/>
          </rPr>
          <t>Rocha, James J.:</t>
        </r>
        <r>
          <rPr>
            <sz val="9"/>
            <color indexed="81"/>
            <rFont val="Tahoma"/>
            <family val="2"/>
          </rPr>
          <t xml:space="preserve">
previous</t>
        </r>
      </text>
    </comment>
    <comment ref="M4" authorId="0" shapeId="0" xr:uid="{83BDED6E-9249-4A64-9F58-BDC31C97E0EC}">
      <text>
        <r>
          <rPr>
            <b/>
            <sz val="9"/>
            <color indexed="81"/>
            <rFont val="Tahoma"/>
            <family val="2"/>
          </rPr>
          <t>Rocha, James J.:</t>
        </r>
        <r>
          <rPr>
            <sz val="9"/>
            <color indexed="81"/>
            <rFont val="Tahoma"/>
            <family val="2"/>
          </rPr>
          <t xml:space="preserve">
after tax reform</t>
        </r>
      </text>
    </comment>
    <comment ref="D37" authorId="1" shapeId="0" xr:uid="{1CF4D6AE-7A0F-4F66-ACB1-4FC99E67FBB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Q2a</t>
        </r>
      </text>
    </comment>
    <comment ref="D39" authorId="1" shapeId="0" xr:uid="{CA40BBE6-6236-4751-A700-CA0A4D10EB2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Q2c</t>
        </r>
      </text>
    </comment>
    <comment ref="D44" authorId="1" shapeId="0" xr:uid="{FB8556A7-B4AC-497D-81F2-1014623BEDA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Q2e (line 44 plus line 70)</t>
        </r>
      </text>
    </comment>
    <comment ref="D63" authorId="1" shapeId="0" xr:uid="{E3506B51-AFFE-4B7C-8B8C-54B4C5B05C7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Q2b</t>
        </r>
      </text>
    </comment>
    <comment ref="D65" authorId="1" shapeId="0" xr:uid="{38D3793E-2E5D-4D3A-AC84-7ED46F25CFA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Q2d</t>
        </r>
      </text>
    </comment>
    <comment ref="D70" authorId="1" shapeId="0" xr:uid="{2F631D71-4695-483B-A814-FC24DA9D26D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Q2e (line 44 plus line 70)</t>
        </r>
      </text>
    </comment>
  </commentList>
</comments>
</file>

<file path=xl/sharedStrings.xml><?xml version="1.0" encoding="utf-8"?>
<sst xmlns="http://schemas.openxmlformats.org/spreadsheetml/2006/main" count="120" uniqueCount="54">
  <si>
    <t>Balm Solar</t>
  </si>
  <si>
    <t>Payne Creek Solar</t>
  </si>
  <si>
    <t>Total</t>
  </si>
  <si>
    <t>Balm Solar:</t>
  </si>
  <si>
    <t>Paynce Creek Solar:</t>
  </si>
  <si>
    <t>Cap Ex Schedule ($000)</t>
  </si>
  <si>
    <t>Tax Year</t>
  </si>
  <si>
    <t>Tax Column</t>
  </si>
  <si>
    <t>Book Depreciation</t>
  </si>
  <si>
    <t>Cumulative Book</t>
  </si>
  <si>
    <t>Tax Depreciation</t>
  </si>
  <si>
    <t>Cumulative Tax</t>
  </si>
  <si>
    <t>Deferred Taxes</t>
  </si>
  <si>
    <t>Cumulative Def Tax</t>
  </si>
  <si>
    <t>Property Tax</t>
  </si>
  <si>
    <t>Average Plant Value</t>
  </si>
  <si>
    <t>Return on Equity</t>
  </si>
  <si>
    <t>Return on Preferred Stock</t>
  </si>
  <si>
    <t>Return on Debt</t>
  </si>
  <si>
    <t>Federal Taxes</t>
  </si>
  <si>
    <t>Capital RR</t>
  </si>
  <si>
    <t>AFUDC Schedule ($000)</t>
  </si>
  <si>
    <t>Tax Dep Tables</t>
  </si>
  <si>
    <t>YEAR</t>
  </si>
  <si>
    <t>3 YEAR</t>
  </si>
  <si>
    <t>5 YEAR</t>
  </si>
  <si>
    <t>10 YEAR</t>
  </si>
  <si>
    <t>15 YEAR</t>
  </si>
  <si>
    <t>20 YEAR</t>
  </si>
  <si>
    <t>DDB-SL</t>
  </si>
  <si>
    <t>150DB-SL</t>
  </si>
  <si>
    <t>TOTAL</t>
  </si>
  <si>
    <t>Property Tax Rate</t>
  </si>
  <si>
    <t>Common Equity</t>
  </si>
  <si>
    <t>Preferred Stock</t>
  </si>
  <si>
    <t>Debt</t>
  </si>
  <si>
    <t>Fixed O&amp;M</t>
  </si>
  <si>
    <t>MW</t>
  </si>
  <si>
    <t>Total RR of Land for Solar</t>
  </si>
  <si>
    <t>Balm Solar Land</t>
  </si>
  <si>
    <t>Payne Creek Land</t>
  </si>
  <si>
    <t>Solar Property Tax Rate</t>
  </si>
  <si>
    <t>First Year RR</t>
  </si>
  <si>
    <t>Investment Tax Credit</t>
  </si>
  <si>
    <t>Permanent tax diff</t>
  </si>
  <si>
    <r>
      <t xml:space="preserve">Tax Rate </t>
    </r>
    <r>
      <rPr>
        <vertAlign val="subscript"/>
        <sz val="11"/>
        <color theme="1"/>
        <rFont val="Calibri"/>
        <family val="2"/>
        <scheme val="minor"/>
      </rPr>
      <t>eff</t>
    </r>
  </si>
  <si>
    <t>MACRS</t>
  </si>
  <si>
    <t>Ave. Bonus 
Depreciation</t>
  </si>
  <si>
    <t>Book Life</t>
  </si>
  <si>
    <t>Cumulative Def. Taxes</t>
  </si>
  <si>
    <t xml:space="preserve">MACRS - Modified Accelerated Cost Recovery System </t>
  </si>
  <si>
    <t>Balm Solar Incentive</t>
  </si>
  <si>
    <t>Payne Creek Solar Incentive</t>
  </si>
  <si>
    <t>Spending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</si>
</sst>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_)"/>
    <numFmt numFmtId="167" formatCode="0.000%"/>
    <numFmt numFmtId="168" formatCode="0.000_)"/>
    <numFmt numFmtId="169" formatCode="0.0%"/>
    <numFmt numFmtId="170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7"/>
      <name val="Arial"/>
      <family val="2"/>
    </font>
    <font>
      <b/>
      <sz val="10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166" fontId="7" fillId="0" borderId="0"/>
  </cellStyleXfs>
  <cellXfs count="61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0" fillId="0" borderId="0" xfId="0" applyNumberFormat="1"/>
    <xf numFmtId="43" fontId="0" fillId="0" borderId="0" xfId="0" applyNumberFormat="1"/>
    <xf numFmtId="9" fontId="0" fillId="0" borderId="0" xfId="2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0" xfId="0" applyFont="1"/>
    <xf numFmtId="0" fontId="4" fillId="4" borderId="0" xfId="0" applyFont="1" applyFill="1" applyBorder="1"/>
    <xf numFmtId="0" fontId="6" fillId="0" borderId="0" xfId="0" applyFont="1" applyFill="1"/>
    <xf numFmtId="164" fontId="3" fillId="0" borderId="0" xfId="1" applyNumberFormat="1" applyFont="1" applyFill="1" applyBorder="1" applyAlignment="1" applyProtection="1">
      <alignment horizontal="center"/>
    </xf>
    <xf numFmtId="43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166" fontId="8" fillId="0" borderId="3" xfId="4" applyNumberFormat="1" applyFont="1" applyBorder="1" applyProtection="1"/>
    <xf numFmtId="166" fontId="5" fillId="0" borderId="4" xfId="4" applyNumberFormat="1" applyFont="1" applyBorder="1" applyProtection="1"/>
    <xf numFmtId="166" fontId="5" fillId="0" borderId="4" xfId="4" applyNumberFormat="1" applyFont="1" applyBorder="1" applyAlignment="1" applyProtection="1">
      <alignment horizontal="center"/>
    </xf>
    <xf numFmtId="166" fontId="5" fillId="0" borderId="5" xfId="4" applyNumberFormat="1" applyFont="1" applyBorder="1" applyProtection="1"/>
    <xf numFmtId="166" fontId="5" fillId="0" borderId="6" xfId="4" applyNumberFormat="1" applyFont="1" applyBorder="1" applyProtection="1"/>
    <xf numFmtId="166" fontId="5" fillId="0" borderId="0" xfId="4" applyNumberFormat="1" applyFont="1" applyBorder="1" applyProtection="1"/>
    <xf numFmtId="166" fontId="5" fillId="0" borderId="7" xfId="4" applyNumberFormat="1" applyFont="1" applyBorder="1" applyProtection="1"/>
    <xf numFmtId="166" fontId="5" fillId="0" borderId="6" xfId="4" applyNumberFormat="1" applyFont="1" applyBorder="1" applyAlignment="1" applyProtection="1">
      <alignment horizontal="center"/>
    </xf>
    <xf numFmtId="166" fontId="5" fillId="0" borderId="0" xfId="4" applyNumberFormat="1" applyFont="1" applyBorder="1" applyAlignment="1" applyProtection="1">
      <alignment horizontal="center"/>
    </xf>
    <xf numFmtId="166" fontId="5" fillId="0" borderId="8" xfId="4" applyNumberFormat="1" applyFont="1" applyBorder="1" applyProtection="1"/>
    <xf numFmtId="166" fontId="5" fillId="0" borderId="2" xfId="4" applyNumberFormat="1" applyFont="1" applyBorder="1" applyProtection="1"/>
    <xf numFmtId="166" fontId="5" fillId="5" borderId="6" xfId="4" applyNumberFormat="1" applyFont="1" applyFill="1" applyBorder="1" applyProtection="1"/>
    <xf numFmtId="10" fontId="5" fillId="0" borderId="0" xfId="2" applyNumberFormat="1" applyFont="1" applyFill="1" applyBorder="1" applyProtection="1"/>
    <xf numFmtId="10" fontId="5" fillId="0" borderId="0" xfId="2" applyNumberFormat="1" applyFont="1" applyBorder="1" applyProtection="1"/>
    <xf numFmtId="167" fontId="5" fillId="0" borderId="0" xfId="2" applyNumberFormat="1" applyFont="1" applyBorder="1" applyProtection="1"/>
    <xf numFmtId="168" fontId="5" fillId="0" borderId="7" xfId="4" applyNumberFormat="1" applyFont="1" applyBorder="1" applyProtection="1"/>
    <xf numFmtId="169" fontId="5" fillId="0" borderId="0" xfId="2" applyNumberFormat="1" applyFont="1" applyFill="1" applyBorder="1" applyProtection="1"/>
    <xf numFmtId="169" fontId="5" fillId="0" borderId="0" xfId="2" applyNumberFormat="1" applyFont="1" applyBorder="1" applyProtection="1"/>
    <xf numFmtId="166" fontId="3" fillId="0" borderId="7" xfId="4" applyFont="1" applyBorder="1"/>
    <xf numFmtId="9" fontId="5" fillId="0" borderId="0" xfId="2" applyFont="1" applyBorder="1" applyProtection="1"/>
    <xf numFmtId="166" fontId="5" fillId="0" borderId="10" xfId="4" applyNumberFormat="1" applyFont="1" applyBorder="1" applyProtection="1"/>
    <xf numFmtId="166" fontId="3" fillId="0" borderId="11" xfId="4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70" fontId="2" fillId="2" borderId="1" xfId="3" applyNumberFormat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center" wrapText="1"/>
    </xf>
    <xf numFmtId="164" fontId="3" fillId="6" borderId="0" xfId="1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9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9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167" fontId="0" fillId="0" borderId="0" xfId="2" applyNumberFormat="1" applyFont="1" applyAlignment="1">
      <alignment horizontal="center"/>
    </xf>
    <xf numFmtId="167" fontId="0" fillId="0" borderId="0" xfId="2" applyNumberFormat="1" applyFont="1" applyAlignment="1">
      <alignment horizontal="left"/>
    </xf>
    <xf numFmtId="0" fontId="0" fillId="0" borderId="0" xfId="0" quotePrefix="1" applyAlignment="1">
      <alignment horizontal="center" wrapText="1"/>
    </xf>
    <xf numFmtId="166" fontId="5" fillId="0" borderId="9" xfId="4" quotePrefix="1" applyNumberFormat="1" applyFont="1" applyBorder="1" applyAlignment="1" applyProtection="1">
      <alignment horizontal="left"/>
    </xf>
    <xf numFmtId="10" fontId="0" fillId="0" borderId="0" xfId="2" applyNumberFormat="1" applyFont="1" applyAlignment="1">
      <alignment horizontal="center"/>
    </xf>
    <xf numFmtId="0" fontId="6" fillId="0" borderId="0" xfId="0" quotePrefix="1" applyFont="1"/>
    <xf numFmtId="9" fontId="13" fillId="0" borderId="0" xfId="2" applyFont="1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Comma" xfId="1" builtinId="3"/>
    <cellStyle name="Input" xfId="3" builtinId="20"/>
    <cellStyle name="Normal" xfId="0" builtinId="0"/>
    <cellStyle name="Normal_Case 4 rev req(components)7_5" xfId="4" xr:uid="{9C7BBE3E-794F-48EB-8527-FD381B943A66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Special%20Projects/2017/17061%20-%20Strategy%20Refresh/1-2-18%20Tax%20Reform/RR/RR_17061_Reference_145MW%20of%20Solar_7-6-17(4C)_Fuel_TaxReform_V17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ssumptions"/>
      <sheetName val="Summary"/>
      <sheetName val="Coal Adder Adjustment"/>
      <sheetName val="RM Input"/>
      <sheetName val="RR Input"/>
      <sheetName val="System Data"/>
      <sheetName val="Tables"/>
      <sheetName val="Exp Plan"/>
      <sheetName val="RecCapNewUnits"/>
      <sheetName val="FCR_15"/>
      <sheetName val="FCR_20"/>
      <sheetName val="VOC Calc"/>
      <sheetName val="Extractor"/>
      <sheetName val="Cost V17.1"/>
      <sheetName val="Quantity V17.1"/>
      <sheetName val="Calcs"/>
      <sheetName val="RR"/>
      <sheetName val="LCOE"/>
      <sheetName val="CO2"/>
      <sheetName val="Other Emissions"/>
      <sheetName val="PPA"/>
      <sheetName val="Sch 7"/>
      <sheetName val="2018 GFI Load"/>
      <sheetName val="High Level Char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7">
          <cell r="A47">
            <v>2018</v>
          </cell>
          <cell r="B47">
            <v>9</v>
          </cell>
          <cell r="E47" t="str">
            <v>Balm Solar</v>
          </cell>
        </row>
        <row r="48">
          <cell r="E48" t="str">
            <v>Payne Creek Solar</v>
          </cell>
        </row>
      </sheetData>
      <sheetData sheetId="5">
        <row r="5">
          <cell r="C5">
            <v>0.10249999999999999</v>
          </cell>
          <cell r="D5">
            <v>0.54</v>
          </cell>
        </row>
        <row r="6">
          <cell r="D6">
            <v>0</v>
          </cell>
        </row>
        <row r="7">
          <cell r="C7">
            <v>4.4999999999999998E-2</v>
          </cell>
          <cell r="D7">
            <v>0.46</v>
          </cell>
        </row>
        <row r="10">
          <cell r="C10">
            <v>2017</v>
          </cell>
        </row>
        <row r="11">
          <cell r="C11">
            <v>0.25344999999999995</v>
          </cell>
        </row>
        <row r="12">
          <cell r="C12">
            <v>1.21E-2</v>
          </cell>
        </row>
        <row r="14">
          <cell r="C14">
            <v>2.3E-2</v>
          </cell>
        </row>
        <row r="15">
          <cell r="C15">
            <v>2.3E-2</v>
          </cell>
        </row>
        <row r="41">
          <cell r="C41">
            <v>74.408425659964436</v>
          </cell>
        </row>
        <row r="56">
          <cell r="C56">
            <v>520.85897961975104</v>
          </cell>
        </row>
        <row r="57">
          <cell r="C57">
            <v>0</v>
          </cell>
        </row>
        <row r="58">
          <cell r="C58">
            <v>30</v>
          </cell>
        </row>
        <row r="59">
          <cell r="C59">
            <v>5</v>
          </cell>
        </row>
        <row r="91">
          <cell r="C91">
            <v>91370.314006398985</v>
          </cell>
        </row>
      </sheetData>
      <sheetData sheetId="6" refreshError="1"/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D216">
            <v>1</v>
          </cell>
          <cell r="E216">
            <v>0.33329999999999999</v>
          </cell>
          <cell r="F216">
            <v>0.2</v>
          </cell>
          <cell r="G216">
            <v>0.1</v>
          </cell>
          <cell r="H216">
            <v>0.05</v>
          </cell>
          <cell r="I216">
            <v>3.7499999999999999E-2</v>
          </cell>
        </row>
        <row r="217">
          <cell r="D217">
            <v>2</v>
          </cell>
          <cell r="E217">
            <v>0.44450000000000001</v>
          </cell>
          <cell r="F217">
            <v>0.32</v>
          </cell>
          <cell r="G217">
            <v>0.18</v>
          </cell>
          <cell r="H217">
            <v>9.5000000000000001E-2</v>
          </cell>
          <cell r="I217">
            <v>7.2190000000000004E-2</v>
          </cell>
        </row>
        <row r="218">
          <cell r="D218">
            <v>3</v>
          </cell>
          <cell r="E218">
            <v>0.14810000000000001</v>
          </cell>
          <cell r="F218">
            <v>0.192</v>
          </cell>
          <cell r="G218">
            <v>0.14399999999999999</v>
          </cell>
          <cell r="H218">
            <v>8.5500000000000007E-2</v>
          </cell>
          <cell r="I218">
            <v>6.6769999999999996E-2</v>
          </cell>
        </row>
        <row r="219">
          <cell r="D219">
            <v>4</v>
          </cell>
          <cell r="E219">
            <v>7.4099999999999999E-2</v>
          </cell>
          <cell r="F219">
            <v>0.1152</v>
          </cell>
          <cell r="G219">
            <v>0.1152</v>
          </cell>
          <cell r="H219">
            <v>7.6999999999999999E-2</v>
          </cell>
          <cell r="I219">
            <v>6.1769999999999999E-2</v>
          </cell>
        </row>
        <row r="220">
          <cell r="D220">
            <v>5</v>
          </cell>
          <cell r="E220">
            <v>0</v>
          </cell>
          <cell r="F220">
            <v>0.1152</v>
          </cell>
          <cell r="G220">
            <v>9.2200000000000004E-2</v>
          </cell>
          <cell r="H220">
            <v>6.93E-2</v>
          </cell>
          <cell r="I220">
            <v>5.713E-2</v>
          </cell>
        </row>
        <row r="221">
          <cell r="D221">
            <v>6</v>
          </cell>
          <cell r="E221">
            <v>0</v>
          </cell>
          <cell r="F221">
            <v>5.7599999999999998E-2</v>
          </cell>
          <cell r="G221">
            <v>7.3700000000000002E-2</v>
          </cell>
          <cell r="H221">
            <v>6.2300000000000001E-2</v>
          </cell>
          <cell r="I221">
            <v>5.2850000000000001E-2</v>
          </cell>
        </row>
        <row r="222">
          <cell r="D222">
            <v>7</v>
          </cell>
          <cell r="E222">
            <v>0</v>
          </cell>
          <cell r="F222">
            <v>0</v>
          </cell>
          <cell r="G222">
            <v>6.5500000000000003E-2</v>
          </cell>
          <cell r="H222">
            <v>5.8999999999999997E-2</v>
          </cell>
          <cell r="I222">
            <v>4.888E-2</v>
          </cell>
        </row>
        <row r="223">
          <cell r="D223">
            <v>8</v>
          </cell>
          <cell r="E223">
            <v>0</v>
          </cell>
          <cell r="F223">
            <v>0</v>
          </cell>
          <cell r="G223">
            <v>6.5500000000000003E-2</v>
          </cell>
          <cell r="H223">
            <v>5.8999999999999997E-2</v>
          </cell>
          <cell r="I223">
            <v>4.5220000000000003E-2</v>
          </cell>
        </row>
        <row r="224">
          <cell r="D224">
            <v>9</v>
          </cell>
          <cell r="E224">
            <v>0</v>
          </cell>
          <cell r="F224">
            <v>0</v>
          </cell>
          <cell r="G224">
            <v>6.5600000000000006E-2</v>
          </cell>
          <cell r="H224">
            <v>5.91E-2</v>
          </cell>
          <cell r="I224">
            <v>4.462E-2</v>
          </cell>
        </row>
        <row r="225">
          <cell r="D225">
            <v>10</v>
          </cell>
          <cell r="E225">
            <v>0</v>
          </cell>
          <cell r="F225">
            <v>0</v>
          </cell>
          <cell r="G225">
            <v>6.5500000000000003E-2</v>
          </cell>
          <cell r="H225">
            <v>5.8999999999999997E-2</v>
          </cell>
          <cell r="I225">
            <v>4.4609999999999997E-2</v>
          </cell>
        </row>
        <row r="226">
          <cell r="D226">
            <v>11</v>
          </cell>
          <cell r="E226">
            <v>0</v>
          </cell>
          <cell r="F226">
            <v>0</v>
          </cell>
          <cell r="G226">
            <v>3.2800000000000003E-2</v>
          </cell>
          <cell r="H226">
            <v>5.91E-2</v>
          </cell>
          <cell r="I226">
            <v>4.462E-2</v>
          </cell>
        </row>
        <row r="227"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5.8999999999999997E-2</v>
          </cell>
          <cell r="I227">
            <v>4.4609999999999997E-2</v>
          </cell>
        </row>
        <row r="228">
          <cell r="D228">
            <v>13</v>
          </cell>
          <cell r="E228">
            <v>0</v>
          </cell>
          <cell r="F228">
            <v>0</v>
          </cell>
          <cell r="G228">
            <v>0</v>
          </cell>
          <cell r="H228">
            <v>5.91E-2</v>
          </cell>
          <cell r="I228">
            <v>4.462E-2</v>
          </cell>
        </row>
        <row r="229">
          <cell r="D229">
            <v>14</v>
          </cell>
          <cell r="E229">
            <v>0</v>
          </cell>
          <cell r="F229">
            <v>0</v>
          </cell>
          <cell r="G229">
            <v>0</v>
          </cell>
          <cell r="H229">
            <v>5.8999999999999997E-2</v>
          </cell>
          <cell r="I229">
            <v>4.4609999999999997E-2</v>
          </cell>
        </row>
        <row r="230">
          <cell r="D230">
            <v>15</v>
          </cell>
          <cell r="E230">
            <v>0</v>
          </cell>
          <cell r="F230">
            <v>0</v>
          </cell>
          <cell r="G230">
            <v>0</v>
          </cell>
          <cell r="H230">
            <v>5.91E-2</v>
          </cell>
          <cell r="I230">
            <v>4.462E-2</v>
          </cell>
        </row>
        <row r="231">
          <cell r="D231">
            <v>16</v>
          </cell>
          <cell r="E231">
            <v>0</v>
          </cell>
          <cell r="F231">
            <v>0</v>
          </cell>
          <cell r="G231">
            <v>0</v>
          </cell>
          <cell r="H231">
            <v>2.9499999999999998E-2</v>
          </cell>
          <cell r="I231">
            <v>4.4609999999999997E-2</v>
          </cell>
        </row>
        <row r="232">
          <cell r="D232">
            <v>17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4.462E-2</v>
          </cell>
        </row>
        <row r="233">
          <cell r="D233">
            <v>18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4.4609999999999997E-2</v>
          </cell>
        </row>
        <row r="234">
          <cell r="D234">
            <v>19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4.462E-2</v>
          </cell>
        </row>
        <row r="235">
          <cell r="D235">
            <v>20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4.4609999999999997E-2</v>
          </cell>
        </row>
        <row r="236">
          <cell r="D236">
            <v>21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2.231E-2</v>
          </cell>
        </row>
        <row r="237">
          <cell r="D237">
            <v>22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D238">
            <v>23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7">
          <cell r="D247">
            <v>3</v>
          </cell>
          <cell r="E247">
            <v>2</v>
          </cell>
        </row>
        <row r="248">
          <cell r="D248">
            <v>5</v>
          </cell>
          <cell r="E248">
            <v>3</v>
          </cell>
        </row>
        <row r="249">
          <cell r="D249">
            <v>10</v>
          </cell>
          <cell r="E249">
            <v>4</v>
          </cell>
        </row>
        <row r="250">
          <cell r="D250">
            <v>15</v>
          </cell>
          <cell r="E250">
            <v>5</v>
          </cell>
        </row>
        <row r="251">
          <cell r="D251">
            <v>20</v>
          </cell>
          <cell r="E251">
            <v>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3FFC-FDF3-45E1-88DB-AA37693EF573}">
  <dimension ref="A1:AE120"/>
  <sheetViews>
    <sheetView showGridLines="0" zoomScale="80" zoomScaleNormal="80" workbookViewId="0">
      <selection activeCell="O32" sqref="O32"/>
    </sheetView>
  </sheetViews>
  <sheetFormatPr defaultRowHeight="14.4" x14ac:dyDescent="0.3"/>
  <cols>
    <col min="2" max="2" width="23.109375" bestFit="1" customWidth="1"/>
    <col min="3" max="5" width="10.5546875" bestFit="1" customWidth="1"/>
    <col min="6" max="6" width="12.6640625" customWidth="1"/>
    <col min="9" max="9" width="10.109375" bestFit="1" customWidth="1"/>
    <col min="10" max="11" width="11.109375" bestFit="1" customWidth="1"/>
    <col min="12" max="12" width="15.33203125" customWidth="1"/>
    <col min="13" max="13" width="11.109375" bestFit="1" customWidth="1"/>
    <col min="14" max="14" width="4" customWidth="1"/>
    <col min="15" max="15" width="11.109375" bestFit="1" customWidth="1"/>
    <col min="16" max="16" width="8.88671875" bestFit="1" customWidth="1"/>
  </cols>
  <sheetData>
    <row r="1" spans="2:21" x14ac:dyDescent="0.3">
      <c r="B1" s="6" t="s">
        <v>5</v>
      </c>
      <c r="C1" s="7">
        <v>2017</v>
      </c>
      <c r="D1" s="7">
        <v>2018</v>
      </c>
      <c r="E1" s="7" t="s">
        <v>2</v>
      </c>
      <c r="I1" s="40" t="s">
        <v>37</v>
      </c>
      <c r="K1" s="38" t="s">
        <v>43</v>
      </c>
      <c r="L1" s="47">
        <v>0.3</v>
      </c>
      <c r="N1" s="47"/>
      <c r="O1" s="16" t="s">
        <v>22</v>
      </c>
      <c r="P1" s="17"/>
      <c r="Q1" s="18"/>
      <c r="R1" s="17"/>
      <c r="S1" s="17"/>
      <c r="T1" s="17"/>
      <c r="U1" s="19"/>
    </row>
    <row r="2" spans="2:21" x14ac:dyDescent="0.3">
      <c r="B2" s="1" t="s">
        <v>0</v>
      </c>
      <c r="C2" s="3">
        <v>9810.0259999999998</v>
      </c>
      <c r="D2" s="3">
        <v>79372.028999999995</v>
      </c>
      <c r="E2" s="3">
        <f>SUM(C2:D2)</f>
        <v>89182.054999999993</v>
      </c>
      <c r="H2" s="38" t="s">
        <v>0</v>
      </c>
      <c r="I2" s="41">
        <v>74.408000000000001</v>
      </c>
      <c r="K2" s="48" t="s">
        <v>44</v>
      </c>
      <c r="L2" s="49">
        <f>L1/2</f>
        <v>0.15</v>
      </c>
      <c r="M2" s="50">
        <f>1-L2</f>
        <v>0.85</v>
      </c>
      <c r="N2" s="49"/>
      <c r="O2" s="20"/>
      <c r="P2" s="21"/>
      <c r="Q2" s="21"/>
      <c r="R2" s="21"/>
      <c r="S2" s="21"/>
      <c r="T2" s="21"/>
      <c r="U2" s="22"/>
    </row>
    <row r="3" spans="2:21" ht="15.6" x14ac:dyDescent="0.35">
      <c r="B3" s="1" t="s">
        <v>1</v>
      </c>
      <c r="C3" s="3">
        <v>9841.6720000000005</v>
      </c>
      <c r="D3" s="3">
        <v>79628.077999999994</v>
      </c>
      <c r="E3" s="3">
        <f>SUM(C3:D3)</f>
        <v>89469.75</v>
      </c>
      <c r="H3" s="38" t="s">
        <v>1</v>
      </c>
      <c r="I3" s="41">
        <v>70.287999999999997</v>
      </c>
      <c r="K3" s="51" t="s">
        <v>45</v>
      </c>
      <c r="L3" s="52">
        <f>1-(1-0.35)*(1-0.055)</f>
        <v>0.38575000000000004</v>
      </c>
      <c r="M3" s="53">
        <f>1-(1-0.21)*(1-0.055)</f>
        <v>0.25344999999999995</v>
      </c>
      <c r="N3" s="52"/>
      <c r="O3" s="23" t="s">
        <v>23</v>
      </c>
      <c r="P3" s="24" t="s">
        <v>24</v>
      </c>
      <c r="Q3" s="24" t="s">
        <v>25</v>
      </c>
      <c r="R3" s="24" t="s">
        <v>26</v>
      </c>
      <c r="S3" s="24" t="s">
        <v>27</v>
      </c>
      <c r="T3" s="24" t="s">
        <v>28</v>
      </c>
      <c r="U3" s="22"/>
    </row>
    <row r="4" spans="2:21" x14ac:dyDescent="0.3">
      <c r="O4" s="20"/>
      <c r="P4" s="24" t="s">
        <v>46</v>
      </c>
      <c r="Q4" s="24" t="s">
        <v>46</v>
      </c>
      <c r="R4" s="24" t="s">
        <v>46</v>
      </c>
      <c r="S4" s="24" t="s">
        <v>46</v>
      </c>
      <c r="T4" s="24" t="s">
        <v>46</v>
      </c>
      <c r="U4" s="22"/>
    </row>
    <row r="5" spans="2:21" x14ac:dyDescent="0.3">
      <c r="B5" s="6" t="s">
        <v>21</v>
      </c>
      <c r="C5" s="7">
        <v>2017</v>
      </c>
      <c r="D5" s="7">
        <v>2018</v>
      </c>
      <c r="E5" s="7" t="s">
        <v>2</v>
      </c>
      <c r="L5" s="59" t="s">
        <v>47</v>
      </c>
      <c r="N5" s="54"/>
      <c r="O5" s="25">
        <v>1</v>
      </c>
      <c r="P5" s="26">
        <v>2</v>
      </c>
      <c r="Q5" s="26">
        <v>3</v>
      </c>
      <c r="R5" s="26">
        <v>4</v>
      </c>
      <c r="S5" s="26">
        <v>5</v>
      </c>
      <c r="T5" s="26">
        <v>6</v>
      </c>
      <c r="U5" s="22"/>
    </row>
    <row r="6" spans="2:21" ht="15" customHeight="1" x14ac:dyDescent="0.3">
      <c r="B6" s="1" t="s">
        <v>0</v>
      </c>
      <c r="C6" s="3">
        <v>127.566</v>
      </c>
      <c r="D6" s="3">
        <v>2060.6909999999998</v>
      </c>
      <c r="E6" s="3">
        <f>SUM(C6:D6)</f>
        <v>2188.2569999999996</v>
      </c>
      <c r="L6" s="60"/>
      <c r="N6" s="43"/>
      <c r="O6" s="27">
        <v>1</v>
      </c>
      <c r="P6" s="28">
        <v>0.33329999999999999</v>
      </c>
      <c r="Q6" s="29">
        <v>0.2</v>
      </c>
      <c r="R6" s="29">
        <v>0.1</v>
      </c>
      <c r="S6" s="29">
        <v>0.05</v>
      </c>
      <c r="T6" s="30">
        <v>3.7499999999999999E-2</v>
      </c>
      <c r="U6" s="22"/>
    </row>
    <row r="7" spans="2:21" ht="15" customHeight="1" x14ac:dyDescent="0.3">
      <c r="B7" s="1" t="s">
        <v>1</v>
      </c>
      <c r="C7" s="3">
        <v>127.97799999999999</v>
      </c>
      <c r="D7" s="3">
        <v>2067.3389999999999</v>
      </c>
      <c r="E7" s="3">
        <f>SUM(C7:D7)</f>
        <v>2195.317</v>
      </c>
      <c r="H7" s="38" t="s">
        <v>3</v>
      </c>
      <c r="I7" s="3">
        <f>(C2*50%)</f>
        <v>4905.0129999999999</v>
      </c>
      <c r="J7" s="3">
        <f>(D2*40%)</f>
        <v>31748.811600000001</v>
      </c>
      <c r="K7" s="3">
        <f>I7+J7</f>
        <v>36653.8246</v>
      </c>
      <c r="L7" s="5">
        <f>ROUND(K7/E2,2)</f>
        <v>0.41</v>
      </c>
      <c r="M7" s="50">
        <f>1-L7</f>
        <v>0.59000000000000008</v>
      </c>
      <c r="N7" s="5"/>
      <c r="O7" s="27">
        <f t="shared" ref="O7:O28" si="0">O6+1</f>
        <v>2</v>
      </c>
      <c r="P7" s="28">
        <v>0.44450000000000001</v>
      </c>
      <c r="Q7" s="29">
        <v>0.32</v>
      </c>
      <c r="R7" s="29">
        <v>0.18</v>
      </c>
      <c r="S7" s="29">
        <v>9.5000000000000001E-2</v>
      </c>
      <c r="T7" s="30">
        <v>7.2190000000000004E-2</v>
      </c>
      <c r="U7" s="22"/>
    </row>
    <row r="8" spans="2:21" x14ac:dyDescent="0.3">
      <c r="D8" s="3"/>
      <c r="E8" s="3"/>
      <c r="H8" s="38" t="s">
        <v>4</v>
      </c>
      <c r="I8" s="3">
        <f>(C3*50%)</f>
        <v>4920.8360000000002</v>
      </c>
      <c r="J8" s="3">
        <f>(D3*40%)</f>
        <v>31851.231199999998</v>
      </c>
      <c r="K8" s="3">
        <f>I8+J8</f>
        <v>36772.067199999998</v>
      </c>
      <c r="L8" s="5">
        <f>ROUND(K8/E3,2)</f>
        <v>0.41</v>
      </c>
      <c r="M8" s="50">
        <f>1-L8</f>
        <v>0.59000000000000008</v>
      </c>
      <c r="N8" s="5"/>
      <c r="O8" s="27">
        <f t="shared" si="0"/>
        <v>3</v>
      </c>
      <c r="P8" s="28">
        <v>0.14810000000000001</v>
      </c>
      <c r="Q8" s="29">
        <v>0.192</v>
      </c>
      <c r="R8" s="29">
        <v>0.14399999999999999</v>
      </c>
      <c r="S8" s="29">
        <v>8.5500000000000007E-2</v>
      </c>
      <c r="T8" s="30">
        <v>6.6769999999999996E-2</v>
      </c>
      <c r="U8" s="31"/>
    </row>
    <row r="9" spans="2:21" x14ac:dyDescent="0.3">
      <c r="C9" s="3"/>
      <c r="D9" s="3"/>
      <c r="E9" s="3"/>
      <c r="O9" s="27">
        <f>O8+1</f>
        <v>4</v>
      </c>
      <c r="P9" s="28">
        <v>7.4099999999999999E-2</v>
      </c>
      <c r="Q9" s="29">
        <v>0.1152</v>
      </c>
      <c r="R9" s="29">
        <v>0.1152</v>
      </c>
      <c r="S9" s="29">
        <v>7.6999999999999999E-2</v>
      </c>
      <c r="T9" s="30">
        <v>6.1769999999999999E-2</v>
      </c>
      <c r="U9" s="22"/>
    </row>
    <row r="10" spans="2:21" x14ac:dyDescent="0.3">
      <c r="O10" s="27">
        <f t="shared" si="0"/>
        <v>5</v>
      </c>
      <c r="P10" s="32">
        <v>0</v>
      </c>
      <c r="Q10" s="29">
        <v>0.1152</v>
      </c>
      <c r="R10" s="29">
        <v>9.2200000000000004E-2</v>
      </c>
      <c r="S10" s="29">
        <v>6.93E-2</v>
      </c>
      <c r="T10" s="30">
        <v>5.713E-2</v>
      </c>
      <c r="U10" s="22"/>
    </row>
    <row r="11" spans="2:21" x14ac:dyDescent="0.3">
      <c r="B11" s="10" t="s">
        <v>0</v>
      </c>
      <c r="C11" s="15">
        <v>2017</v>
      </c>
      <c r="D11" s="15">
        <v>2018</v>
      </c>
      <c r="E11" s="15">
        <v>2019</v>
      </c>
      <c r="O11" s="27">
        <f t="shared" si="0"/>
        <v>6</v>
      </c>
      <c r="P11" s="32">
        <v>0</v>
      </c>
      <c r="Q11" s="29">
        <v>5.7599999999999998E-2</v>
      </c>
      <c r="R11" s="29">
        <v>7.3700000000000002E-2</v>
      </c>
      <c r="S11" s="29">
        <v>6.2300000000000001E-2</v>
      </c>
      <c r="T11" s="30">
        <v>5.2850000000000001E-2</v>
      </c>
      <c r="U11" s="22"/>
    </row>
    <row r="12" spans="2:21" x14ac:dyDescent="0.3">
      <c r="B12" s="8" t="s">
        <v>6</v>
      </c>
      <c r="C12" s="14">
        <v>0</v>
      </c>
      <c r="D12" s="12">
        <v>1</v>
      </c>
      <c r="E12" s="12">
        <v>2</v>
      </c>
      <c r="O12" s="27">
        <f t="shared" si="0"/>
        <v>7</v>
      </c>
      <c r="P12" s="32">
        <v>0</v>
      </c>
      <c r="Q12" s="33">
        <v>0</v>
      </c>
      <c r="R12" s="29">
        <v>6.5500000000000003E-2</v>
      </c>
      <c r="S12" s="29">
        <v>5.8999999999999997E-2</v>
      </c>
      <c r="T12" s="30">
        <v>4.888E-2</v>
      </c>
      <c r="U12" s="22"/>
    </row>
    <row r="13" spans="2:21" x14ac:dyDescent="0.3">
      <c r="B13" s="8" t="s">
        <v>7</v>
      </c>
      <c r="C13" s="12">
        <v>0</v>
      </c>
      <c r="D13" s="12">
        <v>3</v>
      </c>
      <c r="E13" s="12">
        <v>3</v>
      </c>
      <c r="F13" s="45"/>
      <c r="O13" s="27">
        <f t="shared" si="0"/>
        <v>8</v>
      </c>
      <c r="P13" s="32">
        <v>0</v>
      </c>
      <c r="Q13" s="33">
        <v>0</v>
      </c>
      <c r="R13" s="29">
        <v>6.5500000000000003E-2</v>
      </c>
      <c r="S13" s="29">
        <v>5.8999999999999997E-2</v>
      </c>
      <c r="T13" s="30">
        <v>4.5220000000000003E-2</v>
      </c>
      <c r="U13" s="34"/>
    </row>
    <row r="14" spans="2:21" x14ac:dyDescent="0.3">
      <c r="B14" s="8" t="s">
        <v>48</v>
      </c>
      <c r="C14" s="12"/>
      <c r="D14" s="12">
        <v>30</v>
      </c>
      <c r="E14" s="12">
        <f>D14</f>
        <v>30</v>
      </c>
      <c r="F14" s="14"/>
      <c r="O14" s="27">
        <f t="shared" si="0"/>
        <v>9</v>
      </c>
      <c r="P14" s="32">
        <v>0</v>
      </c>
      <c r="Q14" s="33">
        <v>0</v>
      </c>
      <c r="R14" s="29">
        <v>6.5600000000000006E-2</v>
      </c>
      <c r="S14" s="29">
        <v>5.91E-2</v>
      </c>
      <c r="T14" s="30">
        <v>4.462E-2</v>
      </c>
      <c r="U14" s="34"/>
    </row>
    <row r="15" spans="2:21" x14ac:dyDescent="0.3">
      <c r="B15" s="8"/>
      <c r="C15" s="12"/>
      <c r="D15" s="12"/>
      <c r="E15" s="12"/>
      <c r="F15" s="12"/>
      <c r="O15" s="27">
        <f t="shared" si="0"/>
        <v>10</v>
      </c>
      <c r="P15" s="32">
        <v>0</v>
      </c>
      <c r="Q15" s="33">
        <v>0</v>
      </c>
      <c r="R15" s="29">
        <v>6.5500000000000003E-2</v>
      </c>
      <c r="S15" s="29">
        <v>5.8999999999999997E-2</v>
      </c>
      <c r="T15" s="30">
        <v>4.4609999999999997E-2</v>
      </c>
      <c r="U15" s="34"/>
    </row>
    <row r="16" spans="2:21" x14ac:dyDescent="0.3">
      <c r="B16" s="8" t="s">
        <v>8</v>
      </c>
      <c r="C16" s="12">
        <v>0</v>
      </c>
      <c r="D16" s="12">
        <f>($E$2+$E$6)*(1/D14)</f>
        <v>3045.6770666666662</v>
      </c>
      <c r="E16" s="12">
        <f>($E$2+$E$6)*(1/E14)</f>
        <v>3045.6770666666662</v>
      </c>
      <c r="F16" s="12"/>
      <c r="O16" s="27">
        <f t="shared" si="0"/>
        <v>11</v>
      </c>
      <c r="P16" s="32">
        <v>0</v>
      </c>
      <c r="Q16" s="33">
        <v>0</v>
      </c>
      <c r="R16" s="29">
        <v>3.2800000000000003E-2</v>
      </c>
      <c r="S16" s="29">
        <v>5.91E-2</v>
      </c>
      <c r="T16" s="30">
        <v>4.462E-2</v>
      </c>
      <c r="U16" s="34"/>
    </row>
    <row r="17" spans="1:29" x14ac:dyDescent="0.3">
      <c r="B17" s="8" t="s">
        <v>9</v>
      </c>
      <c r="C17" s="12">
        <v>0</v>
      </c>
      <c r="D17" s="12">
        <f>SUM($C$16:D16)</f>
        <v>3045.6770666666662</v>
      </c>
      <c r="E17" s="12">
        <f>SUM($C$16:E16)</f>
        <v>6091.3541333333324</v>
      </c>
      <c r="F17" s="12"/>
      <c r="O17" s="27">
        <f t="shared" si="0"/>
        <v>12</v>
      </c>
      <c r="P17" s="32">
        <v>0</v>
      </c>
      <c r="Q17" s="33">
        <v>0</v>
      </c>
      <c r="R17" s="33">
        <v>0</v>
      </c>
      <c r="S17" s="29">
        <v>5.8999999999999997E-2</v>
      </c>
      <c r="T17" s="30">
        <v>4.4609999999999997E-2</v>
      </c>
      <c r="U17" s="34"/>
    </row>
    <row r="18" spans="1:29" s="11" customFormat="1" x14ac:dyDescent="0.3">
      <c r="A18"/>
      <c r="B18" s="8" t="s">
        <v>10</v>
      </c>
      <c r="C18" s="12">
        <v>0</v>
      </c>
      <c r="D18" s="12">
        <f>($E$2+$E$6)*$M$2*$M$7*VLOOKUP(D12,$O$6:$U$28,D13)+($E$2+$E$6)*$M$2*$L$7</f>
        <v>41006.996025599998</v>
      </c>
      <c r="E18" s="12">
        <f>($E$2+$E$6)*$M$2*$M$7*VLOOKUP(E12,$O$6:$U$28,E13)</f>
        <v>14663.10766976</v>
      </c>
      <c r="F18" s="12"/>
      <c r="G18" s="45"/>
      <c r="H18" s="45"/>
      <c r="I18" s="45"/>
      <c r="J18" s="45"/>
      <c r="K18" s="45"/>
      <c r="L18" s="45"/>
      <c r="N18" s="45"/>
      <c r="O18" s="27">
        <f t="shared" si="0"/>
        <v>13</v>
      </c>
      <c r="P18" s="32">
        <v>0</v>
      </c>
      <c r="Q18" s="33">
        <v>0</v>
      </c>
      <c r="R18" s="33">
        <v>0</v>
      </c>
      <c r="S18" s="29">
        <v>5.91E-2</v>
      </c>
      <c r="T18" s="30">
        <v>4.462E-2</v>
      </c>
      <c r="U18" s="34"/>
      <c r="V18" s="45"/>
      <c r="W18" s="45"/>
      <c r="X18" s="45"/>
      <c r="Y18" s="45"/>
      <c r="Z18" s="45"/>
      <c r="AA18" s="45"/>
      <c r="AB18" s="45"/>
      <c r="AC18" s="45"/>
    </row>
    <row r="19" spans="1:29" s="9" customFormat="1" x14ac:dyDescent="0.3">
      <c r="A19"/>
      <c r="B19" s="8" t="s">
        <v>12</v>
      </c>
      <c r="C19" s="12"/>
      <c r="D19" s="12">
        <f>(D18-D16+D16*$L$2)*$M$3</f>
        <v>9737.0853180236518</v>
      </c>
      <c r="E19" s="12">
        <f>(E18-E16+E16*$L$2)*$M$3</f>
        <v>3060.2268142360044</v>
      </c>
      <c r="F19" s="12"/>
      <c r="G19" s="14"/>
      <c r="H19" s="14"/>
      <c r="I19" s="14"/>
      <c r="J19" s="14"/>
      <c r="K19" s="14"/>
      <c r="L19" s="14"/>
      <c r="N19" s="14"/>
      <c r="O19" s="27">
        <f t="shared" si="0"/>
        <v>14</v>
      </c>
      <c r="P19" s="32">
        <v>0</v>
      </c>
      <c r="Q19" s="33">
        <v>0</v>
      </c>
      <c r="R19" s="33">
        <v>0</v>
      </c>
      <c r="S19" s="29">
        <v>5.8999999999999997E-2</v>
      </c>
      <c r="T19" s="30">
        <v>4.4609999999999997E-2</v>
      </c>
      <c r="U19" s="34"/>
      <c r="V19" s="12"/>
      <c r="W19" s="12"/>
      <c r="X19" s="12"/>
      <c r="Y19" s="12"/>
      <c r="Z19" s="12"/>
      <c r="AA19" s="12"/>
      <c r="AB19" s="12"/>
      <c r="AC19" s="12"/>
    </row>
    <row r="20" spans="1:29" s="9" customFormat="1" x14ac:dyDescent="0.3">
      <c r="A20"/>
      <c r="B20" s="8" t="s">
        <v>49</v>
      </c>
      <c r="C20" s="12"/>
      <c r="D20" s="12">
        <f>SUM($D$19:D19)</f>
        <v>9737.0853180236518</v>
      </c>
      <c r="E20" s="12">
        <f>SUM($D$19:E19)</f>
        <v>12797.312132259656</v>
      </c>
      <c r="F20" s="12"/>
      <c r="G20" s="12"/>
      <c r="H20" s="12"/>
      <c r="I20" s="12"/>
      <c r="J20" s="12"/>
      <c r="K20" s="12"/>
      <c r="L20" s="12"/>
      <c r="N20" s="12"/>
      <c r="O20" s="27">
        <f t="shared" si="0"/>
        <v>15</v>
      </c>
      <c r="P20" s="32">
        <v>0</v>
      </c>
      <c r="Q20" s="33">
        <v>0</v>
      </c>
      <c r="R20" s="33">
        <v>0</v>
      </c>
      <c r="S20" s="29">
        <v>5.91E-2</v>
      </c>
      <c r="T20" s="30">
        <v>4.462E-2</v>
      </c>
      <c r="U20" s="34"/>
      <c r="V20" s="13"/>
      <c r="W20" s="13"/>
      <c r="X20" s="13"/>
      <c r="Y20" s="13"/>
      <c r="Z20" s="13"/>
      <c r="AA20" s="13"/>
      <c r="AB20" s="13"/>
      <c r="AC20" s="13"/>
    </row>
    <row r="21" spans="1:29" s="9" customFormat="1" x14ac:dyDescent="0.3">
      <c r="A21"/>
      <c r="B21" s="8"/>
      <c r="C21" s="12"/>
      <c r="D21" s="12"/>
      <c r="E21" s="12"/>
      <c r="F21" s="12"/>
      <c r="G21" s="12"/>
      <c r="H21" s="12"/>
      <c r="I21" s="12"/>
      <c r="J21" s="12"/>
      <c r="K21" s="12"/>
      <c r="L21" s="12"/>
      <c r="N21" s="12"/>
      <c r="O21" s="27">
        <f t="shared" si="0"/>
        <v>16</v>
      </c>
      <c r="P21" s="32">
        <v>0</v>
      </c>
      <c r="Q21" s="33">
        <v>0</v>
      </c>
      <c r="R21" s="33">
        <v>0</v>
      </c>
      <c r="S21" s="29">
        <v>2.9499999999999998E-2</v>
      </c>
      <c r="T21" s="30">
        <v>4.4609999999999997E-2</v>
      </c>
      <c r="U21" s="34"/>
      <c r="V21" s="14"/>
      <c r="W21" s="14"/>
      <c r="X21" s="14"/>
      <c r="Y21" s="14"/>
      <c r="Z21" s="14"/>
      <c r="AA21" s="14"/>
      <c r="AB21" s="14"/>
      <c r="AC21" s="14"/>
    </row>
    <row r="22" spans="1:29" s="9" customFormat="1" x14ac:dyDescent="0.3">
      <c r="A22"/>
      <c r="B22" s="10" t="s">
        <v>1</v>
      </c>
      <c r="C22" s="15">
        <f>C11</f>
        <v>2017</v>
      </c>
      <c r="D22" s="15">
        <f>D11</f>
        <v>2018</v>
      </c>
      <c r="E22" s="15">
        <f>E11</f>
        <v>2019</v>
      </c>
      <c r="F22" s="12"/>
      <c r="G22" s="12"/>
      <c r="H22" s="12"/>
      <c r="I22" s="12"/>
      <c r="J22" s="12"/>
      <c r="K22" s="12"/>
      <c r="L22" s="12"/>
      <c r="N22" s="12"/>
      <c r="O22" s="27">
        <f t="shared" si="0"/>
        <v>17</v>
      </c>
      <c r="P22" s="32">
        <v>0</v>
      </c>
      <c r="Q22" s="33">
        <v>0</v>
      </c>
      <c r="R22" s="33">
        <v>0</v>
      </c>
      <c r="S22" s="33">
        <v>0</v>
      </c>
      <c r="T22" s="30">
        <v>4.462E-2</v>
      </c>
      <c r="U22" s="34"/>
      <c r="V22" s="12"/>
      <c r="W22" s="12"/>
      <c r="X22" s="12"/>
      <c r="Y22" s="12"/>
      <c r="Z22" s="12"/>
      <c r="AA22" s="12"/>
      <c r="AB22" s="12"/>
      <c r="AC22" s="12"/>
    </row>
    <row r="23" spans="1:29" s="9" customFormat="1" x14ac:dyDescent="0.3">
      <c r="A23"/>
      <c r="B23" s="8" t="s">
        <v>6</v>
      </c>
      <c r="C23" s="14">
        <v>0</v>
      </c>
      <c r="D23" s="12">
        <v>1</v>
      </c>
      <c r="E23" s="12">
        <v>2</v>
      </c>
      <c r="F23" s="12"/>
      <c r="G23" s="12"/>
      <c r="H23" s="12"/>
      <c r="I23" s="12"/>
      <c r="J23" s="12"/>
      <c r="K23" s="12"/>
      <c r="L23" s="12"/>
      <c r="N23" s="12"/>
      <c r="O23" s="27">
        <f t="shared" si="0"/>
        <v>18</v>
      </c>
      <c r="P23" s="32">
        <v>0</v>
      </c>
      <c r="Q23" s="33">
        <v>0</v>
      </c>
      <c r="R23" s="33">
        <v>0</v>
      </c>
      <c r="S23" s="33">
        <v>0</v>
      </c>
      <c r="T23" s="30">
        <v>4.4609999999999997E-2</v>
      </c>
      <c r="U23" s="34"/>
      <c r="V23" s="12"/>
      <c r="W23" s="12"/>
      <c r="X23" s="12"/>
      <c r="Y23" s="12"/>
      <c r="Z23" s="12"/>
      <c r="AA23" s="12"/>
      <c r="AB23" s="12"/>
      <c r="AC23" s="12"/>
    </row>
    <row r="24" spans="1:29" s="9" customFormat="1" x14ac:dyDescent="0.3">
      <c r="A24"/>
      <c r="B24" s="8" t="s">
        <v>7</v>
      </c>
      <c r="C24" s="12">
        <v>0</v>
      </c>
      <c r="D24" s="12">
        <v>3</v>
      </c>
      <c r="E24" s="12">
        <v>3</v>
      </c>
      <c r="F24" s="12"/>
      <c r="G24" s="12"/>
      <c r="H24" s="12"/>
      <c r="I24" s="12"/>
      <c r="J24" s="12"/>
      <c r="K24" s="12"/>
      <c r="L24" s="12"/>
      <c r="N24" s="12"/>
      <c r="O24" s="27">
        <f t="shared" si="0"/>
        <v>19</v>
      </c>
      <c r="P24" s="32">
        <v>0</v>
      </c>
      <c r="Q24" s="33">
        <v>0</v>
      </c>
      <c r="R24" s="33">
        <v>0</v>
      </c>
      <c r="S24" s="33">
        <v>0</v>
      </c>
      <c r="T24" s="30">
        <v>4.462E-2</v>
      </c>
      <c r="U24" s="34"/>
      <c r="V24" s="12"/>
      <c r="W24" s="12"/>
      <c r="X24" s="12"/>
      <c r="Y24" s="12"/>
      <c r="Z24" s="12"/>
      <c r="AA24" s="12"/>
      <c r="AB24" s="12"/>
      <c r="AC24" s="12"/>
    </row>
    <row r="25" spans="1:29" s="9" customFormat="1" x14ac:dyDescent="0.3">
      <c r="A25"/>
      <c r="B25" s="8" t="s">
        <v>48</v>
      </c>
      <c r="C25" s="12"/>
      <c r="D25" s="12">
        <v>30</v>
      </c>
      <c r="E25" s="12">
        <f>D25</f>
        <v>30</v>
      </c>
      <c r="F25" s="12"/>
      <c r="G25" s="12"/>
      <c r="H25" s="12"/>
      <c r="I25" s="12"/>
      <c r="J25" s="12"/>
      <c r="K25" s="12"/>
      <c r="L25" s="12"/>
      <c r="N25" s="12"/>
      <c r="O25" s="27">
        <f t="shared" si="0"/>
        <v>20</v>
      </c>
      <c r="P25" s="32">
        <v>0</v>
      </c>
      <c r="Q25" s="33">
        <v>0</v>
      </c>
      <c r="R25" s="33">
        <v>0</v>
      </c>
      <c r="S25" s="33">
        <v>0</v>
      </c>
      <c r="T25" s="30">
        <v>4.4609999999999997E-2</v>
      </c>
      <c r="U25" s="34"/>
      <c r="V25" s="12"/>
      <c r="W25" s="12"/>
      <c r="X25" s="12"/>
      <c r="Y25" s="12"/>
      <c r="Z25" s="12"/>
      <c r="AA25" s="12"/>
      <c r="AB25" s="12"/>
      <c r="AC25" s="12"/>
    </row>
    <row r="26" spans="1:29" s="9" customFormat="1" x14ac:dyDescent="0.3">
      <c r="A26"/>
      <c r="B26" s="8"/>
      <c r="C26" s="12"/>
      <c r="D26" s="12"/>
      <c r="E26"/>
      <c r="F26" s="12"/>
      <c r="G26" s="12"/>
      <c r="H26" s="12"/>
      <c r="I26" s="12"/>
      <c r="J26" s="12"/>
      <c r="K26" s="12"/>
      <c r="L26" s="12"/>
      <c r="N26" s="12"/>
      <c r="O26" s="27">
        <f t="shared" si="0"/>
        <v>21</v>
      </c>
      <c r="P26" s="32">
        <v>0</v>
      </c>
      <c r="Q26" s="33">
        <v>0</v>
      </c>
      <c r="R26" s="33">
        <v>0</v>
      </c>
      <c r="S26" s="33">
        <v>0</v>
      </c>
      <c r="T26" s="30">
        <v>2.231E-2</v>
      </c>
      <c r="U26" s="34"/>
      <c r="V26" s="12"/>
      <c r="W26" s="12"/>
      <c r="X26" s="12"/>
      <c r="Y26" s="12"/>
      <c r="Z26" s="12"/>
      <c r="AA26" s="12"/>
      <c r="AB26" s="12"/>
      <c r="AC26" s="12"/>
    </row>
    <row r="27" spans="1:29" s="9" customFormat="1" x14ac:dyDescent="0.3">
      <c r="A27"/>
      <c r="B27" s="8" t="s">
        <v>8</v>
      </c>
      <c r="C27" s="12">
        <v>0</v>
      </c>
      <c r="D27" s="12">
        <f>($E$3+$E$7)*(1/D25)</f>
        <v>3055.5022333333332</v>
      </c>
      <c r="E27" s="12">
        <f>($E$3+$E$7)*(1/E25)</f>
        <v>3055.5022333333332</v>
      </c>
      <c r="F27" s="12"/>
      <c r="G27" s="12"/>
      <c r="H27" s="12"/>
      <c r="I27" s="12"/>
      <c r="J27" s="12"/>
      <c r="K27" s="12"/>
      <c r="L27" s="12"/>
      <c r="N27" s="12"/>
      <c r="O27" s="27">
        <f t="shared" si="0"/>
        <v>22</v>
      </c>
      <c r="P27" s="32">
        <v>0</v>
      </c>
      <c r="Q27" s="33">
        <v>0</v>
      </c>
      <c r="R27" s="33">
        <v>0</v>
      </c>
      <c r="S27" s="33">
        <v>0</v>
      </c>
      <c r="T27" s="33">
        <v>0</v>
      </c>
      <c r="U27" s="34"/>
      <c r="V27" s="12"/>
      <c r="W27" s="12"/>
      <c r="X27" s="12"/>
      <c r="Y27" s="12"/>
      <c r="Z27" s="12"/>
      <c r="AA27" s="12"/>
      <c r="AB27" s="12"/>
      <c r="AC27" s="12"/>
    </row>
    <row r="28" spans="1:29" s="9" customFormat="1" x14ac:dyDescent="0.3">
      <c r="A28"/>
      <c r="B28" s="8" t="s">
        <v>9</v>
      </c>
      <c r="C28" s="12">
        <v>0</v>
      </c>
      <c r="D28" s="12">
        <f>SUM($C$27:D27)</f>
        <v>3055.5022333333332</v>
      </c>
      <c r="E28" s="12">
        <f>SUM($C$27:E27)</f>
        <v>6111.0044666666663</v>
      </c>
      <c r="F28" s="12"/>
      <c r="G28" s="12"/>
      <c r="H28" s="12"/>
      <c r="I28" s="12"/>
      <c r="J28" s="12"/>
      <c r="K28" s="12"/>
      <c r="L28" s="12"/>
      <c r="N28" s="12"/>
      <c r="O28" s="27">
        <f t="shared" si="0"/>
        <v>23</v>
      </c>
      <c r="P28" s="32">
        <v>0</v>
      </c>
      <c r="Q28" s="33">
        <v>0</v>
      </c>
      <c r="R28" s="33">
        <v>0</v>
      </c>
      <c r="S28" s="33">
        <v>0</v>
      </c>
      <c r="T28" s="33">
        <v>0</v>
      </c>
      <c r="U28" s="34"/>
      <c r="V28" s="12"/>
      <c r="W28" s="12"/>
      <c r="X28" s="12"/>
      <c r="Y28" s="12"/>
      <c r="Z28" s="12"/>
      <c r="AA28" s="12"/>
      <c r="AB28" s="12"/>
      <c r="AC28" s="12"/>
    </row>
    <row r="29" spans="1:29" s="9" customFormat="1" x14ac:dyDescent="0.3">
      <c r="A29"/>
      <c r="B29" s="8" t="s">
        <v>10</v>
      </c>
      <c r="C29" s="12">
        <v>0</v>
      </c>
      <c r="D29" s="12">
        <f>($E$3+$E$7)*$M$2*$M$8*VLOOKUP(D23,$O$6:$U$28,D24)+($E$3+$E$7)*$M$2*$L$8</f>
        <v>41139.282069599998</v>
      </c>
      <c r="E29" s="12">
        <f>($E$3+$E$7)*$M$2*$M$8*VLOOKUP(E23,$O$6:$U$28,E24)</f>
        <v>14710.409952160002</v>
      </c>
      <c r="F29" s="12"/>
      <c r="G29" s="12"/>
      <c r="H29" s="12"/>
      <c r="I29" s="12"/>
      <c r="J29" s="12"/>
      <c r="K29" s="12"/>
      <c r="L29" s="12"/>
      <c r="N29" s="12"/>
      <c r="O29" s="20"/>
      <c r="P29" s="21"/>
      <c r="Q29" s="21"/>
      <c r="R29" s="21"/>
      <c r="S29" s="21"/>
      <c r="T29" s="21"/>
      <c r="U29" s="34"/>
      <c r="V29" s="12"/>
      <c r="W29" s="12"/>
      <c r="X29" s="12"/>
      <c r="Y29" s="12"/>
      <c r="Z29" s="12"/>
      <c r="AA29" s="12"/>
      <c r="AB29" s="12"/>
      <c r="AC29" s="12"/>
    </row>
    <row r="30" spans="1:29" s="9" customFormat="1" x14ac:dyDescent="0.3">
      <c r="A30"/>
      <c r="B30" s="8" t="s">
        <v>12</v>
      </c>
      <c r="C30" s="12"/>
      <c r="D30" s="12">
        <f>(D29-D27+D27*$L$2)*$M$3</f>
        <v>9768.4965556575353</v>
      </c>
      <c r="E30" s="12">
        <f>(E29-E27+E27*$L$2)*$M$3</f>
        <v>3070.0989174923689</v>
      </c>
      <c r="F30" s="12"/>
      <c r="G30" s="12"/>
      <c r="H30" s="12"/>
      <c r="I30" s="12"/>
      <c r="J30" s="12"/>
      <c r="K30" s="12"/>
      <c r="L30" s="12"/>
      <c r="N30" s="12"/>
      <c r="O30" s="23" t="s">
        <v>31</v>
      </c>
      <c r="P30" s="35"/>
      <c r="Q30" s="35">
        <f>SUM(Q6:Q28)</f>
        <v>0.99999999999999989</v>
      </c>
      <c r="R30" s="35">
        <f>SUM(R6:R28)</f>
        <v>1</v>
      </c>
      <c r="S30" s="35">
        <f>SUM(S6:S28)</f>
        <v>1.0000000000000002</v>
      </c>
      <c r="T30" s="35">
        <f>SUM(T6:T28)</f>
        <v>1.0000000000000002</v>
      </c>
      <c r="U30" s="34"/>
      <c r="V30" s="12"/>
      <c r="W30" s="12"/>
      <c r="X30" s="12"/>
      <c r="Y30" s="12"/>
      <c r="Z30" s="12"/>
      <c r="AA30" s="12"/>
      <c r="AB30" s="12"/>
      <c r="AC30" s="12"/>
    </row>
    <row r="31" spans="1:29" s="9" customFormat="1" x14ac:dyDescent="0.3">
      <c r="A31"/>
      <c r="B31" s="8" t="s">
        <v>49</v>
      </c>
      <c r="C31" s="12"/>
      <c r="D31" s="12">
        <f>SUM($D$30:D30)</f>
        <v>9768.4965556575353</v>
      </c>
      <c r="E31" s="12">
        <f>SUM($D$30:E30)</f>
        <v>12838.595473149904</v>
      </c>
      <c r="F31" s="12"/>
      <c r="G31" s="12"/>
      <c r="H31" s="12"/>
      <c r="I31" s="12"/>
      <c r="J31" s="12"/>
      <c r="K31" s="12"/>
      <c r="L31" s="12"/>
      <c r="N31" s="12"/>
      <c r="O31" s="20"/>
      <c r="P31" s="21"/>
      <c r="Q31" s="21"/>
      <c r="R31" s="21"/>
      <c r="S31" s="21"/>
      <c r="T31" s="21"/>
      <c r="U31" s="34"/>
      <c r="V31" s="12"/>
      <c r="W31" s="12"/>
      <c r="X31" s="12"/>
      <c r="Y31" s="12"/>
      <c r="Z31" s="12"/>
      <c r="AA31" s="12"/>
      <c r="AB31" s="12"/>
      <c r="AC31" s="12"/>
    </row>
    <row r="32" spans="1:29" s="9" customFormat="1" ht="15" thickBot="1" x14ac:dyDescent="0.35">
      <c r="A32"/>
      <c r="B32"/>
      <c r="C32"/>
      <c r="D32"/>
      <c r="E32"/>
      <c r="F32" s="12"/>
      <c r="G32" s="12"/>
      <c r="H32" s="12"/>
      <c r="I32" s="12"/>
      <c r="J32" s="12"/>
      <c r="K32" s="12"/>
      <c r="L32" s="12"/>
      <c r="M32" s="12"/>
      <c r="N32" s="12"/>
      <c r="O32" s="55" t="s">
        <v>50</v>
      </c>
      <c r="P32" s="36"/>
      <c r="Q32" s="36"/>
      <c r="R32" s="36"/>
      <c r="S32" s="36"/>
      <c r="T32" s="36"/>
      <c r="U32" s="37"/>
      <c r="V32" s="12"/>
      <c r="W32" s="12"/>
      <c r="X32" s="12"/>
      <c r="Y32" s="12"/>
      <c r="Z32" s="12"/>
      <c r="AA32" s="12"/>
      <c r="AB32" s="12"/>
      <c r="AC32" s="12"/>
    </row>
    <row r="33" spans="1:31" s="9" customFormat="1" x14ac:dyDescent="0.3">
      <c r="A33"/>
      <c r="B33"/>
      <c r="C33"/>
      <c r="D33"/>
      <c r="E3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31" s="9" customFormat="1" x14ac:dyDescent="0.3">
      <c r="A34"/>
      <c r="B34"/>
      <c r="C34"/>
      <c r="D34"/>
      <c r="E34"/>
      <c r="F34" s="46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31" s="9" customFormat="1" x14ac:dyDescent="0.3">
      <c r="A35"/>
      <c r="B35"/>
      <c r="C35"/>
      <c r="D35"/>
      <c r="E35"/>
      <c r="F35" s="45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31" s="9" customFormat="1" x14ac:dyDescent="0.3">
      <c r="A36"/>
      <c r="B36"/>
      <c r="C36"/>
      <c r="D36"/>
      <c r="E3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31" s="9" customFormat="1" x14ac:dyDescent="0.3">
      <c r="A37"/>
      <c r="B37"/>
      <c r="C37"/>
      <c r="D37"/>
      <c r="E37"/>
      <c r="F37" s="13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31" s="9" customFormat="1" x14ac:dyDescent="0.3">
      <c r="A38"/>
      <c r="B38"/>
      <c r="C38"/>
      <c r="D38"/>
      <c r="E38"/>
      <c r="F38" s="14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s="9" customFormat="1" x14ac:dyDescent="0.3">
      <c r="A39"/>
      <c r="B39"/>
      <c r="C39"/>
      <c r="D39"/>
      <c r="E39"/>
      <c r="F39" s="12"/>
      <c r="G39" s="46"/>
      <c r="H39" s="46"/>
      <c r="I39" s="46"/>
      <c r="J39" s="46"/>
      <c r="K39" s="46"/>
      <c r="L39" s="46"/>
      <c r="M39" s="46"/>
      <c r="N39" s="46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s="9" customFormat="1" x14ac:dyDescent="0.3">
      <c r="A40"/>
      <c r="B40"/>
      <c r="C40"/>
      <c r="D40"/>
      <c r="E40"/>
      <c r="F40" s="12"/>
      <c r="G40" s="45"/>
      <c r="H40" s="45"/>
      <c r="I40" s="45"/>
      <c r="J40" s="45"/>
      <c r="K40" s="45"/>
      <c r="L40" s="45"/>
      <c r="M40" s="45"/>
      <c r="N40" s="45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s="9" customFormat="1" x14ac:dyDescent="0.3">
      <c r="A41"/>
      <c r="B41"/>
      <c r="C41"/>
      <c r="D41"/>
      <c r="E4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s="9" customFormat="1" x14ac:dyDescent="0.3">
      <c r="A42"/>
      <c r="B42"/>
      <c r="C42"/>
      <c r="D42"/>
      <c r="E42"/>
      <c r="F42" s="12"/>
      <c r="G42" s="13"/>
      <c r="H42" s="13"/>
      <c r="I42" s="13"/>
      <c r="J42" s="13"/>
      <c r="K42" s="13"/>
      <c r="L42" s="13"/>
      <c r="M42" s="13"/>
      <c r="N42" s="13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s="9" customFormat="1" x14ac:dyDescent="0.3">
      <c r="A43"/>
      <c r="B43"/>
      <c r="C43"/>
      <c r="D43"/>
      <c r="E43"/>
      <c r="F43" s="12"/>
      <c r="G43" s="14"/>
      <c r="H43" s="14"/>
      <c r="I43" s="14"/>
      <c r="J43" s="14"/>
      <c r="K43" s="14"/>
      <c r="L43" s="14"/>
      <c r="M43" s="14"/>
      <c r="N43" s="14"/>
      <c r="O43" s="46"/>
      <c r="P43" s="46"/>
      <c r="Q43" s="46"/>
      <c r="R43" s="46"/>
      <c r="S43" s="46"/>
      <c r="T43" s="46"/>
      <c r="U43" s="46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s="9" customFormat="1" x14ac:dyDescent="0.3">
      <c r="A44"/>
      <c r="B44"/>
      <c r="C44"/>
      <c r="D44"/>
      <c r="E44"/>
      <c r="F44" s="46"/>
      <c r="G44" s="12"/>
      <c r="H44" s="12"/>
      <c r="I44" s="12"/>
      <c r="J44" s="12"/>
      <c r="K44" s="12"/>
      <c r="L44" s="12"/>
      <c r="M44" s="12"/>
      <c r="N44" s="12"/>
      <c r="O44" s="45"/>
      <c r="P44" s="45"/>
      <c r="Q44" s="45"/>
      <c r="R44" s="45"/>
      <c r="S44" s="45"/>
      <c r="T44" s="45"/>
      <c r="U44" s="45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s="9" customFormat="1" x14ac:dyDescent="0.3">
      <c r="A45"/>
      <c r="B45"/>
      <c r="C45"/>
      <c r="D45"/>
      <c r="E45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s="9" customFormat="1" x14ac:dyDescent="0.3">
      <c r="A46"/>
      <c r="B46"/>
      <c r="C46"/>
      <c r="D46"/>
      <c r="E46"/>
      <c r="F46" s="12"/>
      <c r="G46" s="12"/>
      <c r="H46" s="12"/>
      <c r="I46" s="12"/>
      <c r="J46" s="12"/>
      <c r="K46" s="12"/>
      <c r="L46" s="12"/>
      <c r="M46" s="12"/>
      <c r="N46" s="12"/>
      <c r="O46" s="13"/>
      <c r="P46" s="13"/>
      <c r="Q46" s="13"/>
      <c r="R46" s="13"/>
      <c r="S46" s="13"/>
      <c r="T46" s="13"/>
      <c r="U46" s="13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s="9" customFormat="1" x14ac:dyDescent="0.3">
      <c r="A47"/>
      <c r="B47"/>
      <c r="C47"/>
      <c r="D47"/>
      <c r="E47"/>
      <c r="F47" s="12"/>
      <c r="G47" s="12"/>
      <c r="H47" s="12"/>
      <c r="I47" s="12"/>
      <c r="J47" s="12"/>
      <c r="K47" s="12"/>
      <c r="L47" s="12"/>
      <c r="M47" s="12"/>
      <c r="N47" s="12"/>
      <c r="O47" s="14"/>
      <c r="P47" s="14"/>
      <c r="Q47" s="14"/>
      <c r="R47" s="14"/>
      <c r="S47" s="14"/>
      <c r="T47" s="14"/>
      <c r="U47" s="14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3">
      <c r="B48" s="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2:31" x14ac:dyDescent="0.3">
      <c r="B49" s="8"/>
      <c r="C49" s="12"/>
      <c r="D49" s="12"/>
      <c r="E49" s="12"/>
      <c r="F49" s="12"/>
      <c r="G49" s="46"/>
      <c r="H49" s="46"/>
      <c r="I49" s="46"/>
      <c r="J49" s="46"/>
      <c r="K49" s="46"/>
      <c r="L49" s="46"/>
      <c r="M49" s="46"/>
      <c r="N49" s="46"/>
      <c r="O49" s="12"/>
      <c r="P49" s="12"/>
      <c r="Q49" s="12"/>
      <c r="R49" s="12"/>
      <c r="S49" s="12"/>
      <c r="T49" s="12"/>
      <c r="U49" s="12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2:31" x14ac:dyDescent="0.3">
      <c r="B50" s="8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2:31" x14ac:dyDescent="0.3">
      <c r="B51" s="8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2:31" x14ac:dyDescent="0.3">
      <c r="B52" s="8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2:31" x14ac:dyDescent="0.3">
      <c r="B53" s="8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46"/>
      <c r="P53" s="46"/>
      <c r="Q53" s="46"/>
      <c r="R53" s="46"/>
      <c r="S53" s="46"/>
      <c r="T53" s="46"/>
      <c r="U53" s="46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2:31" x14ac:dyDescent="0.3">
      <c r="B54" s="8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2:31" x14ac:dyDescent="0.3">
      <c r="B55" s="8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2:31" x14ac:dyDescent="0.3"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2:31" x14ac:dyDescent="0.3">
      <c r="B57" s="8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2:31" x14ac:dyDescent="0.3">
      <c r="F58" s="4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2:31" x14ac:dyDescent="0.3">
      <c r="B59" s="8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2:31" x14ac:dyDescent="0.3">
      <c r="B60" s="8"/>
      <c r="C60" s="12"/>
      <c r="D60" s="12"/>
      <c r="E60" s="12"/>
      <c r="F60" s="46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2:31" x14ac:dyDescent="0.3">
      <c r="B61" s="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2:31" x14ac:dyDescent="0.3">
      <c r="B62" s="8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2:31" x14ac:dyDescent="0.3">
      <c r="F63" s="12"/>
      <c r="G63" s="46"/>
      <c r="H63" s="46"/>
      <c r="I63" s="46"/>
      <c r="J63" s="46"/>
      <c r="K63" s="46"/>
      <c r="L63" s="46"/>
      <c r="M63" s="46"/>
      <c r="N63" s="46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2:31" x14ac:dyDescent="0.3">
      <c r="B64" s="42"/>
      <c r="C64" s="12"/>
      <c r="D64" s="3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6:31" x14ac:dyDescent="0.3">
      <c r="F65" s="46"/>
      <c r="G65" s="46"/>
      <c r="H65" s="46"/>
      <c r="I65" s="46"/>
      <c r="J65" s="46"/>
      <c r="K65" s="46"/>
      <c r="L65" s="46"/>
      <c r="M65" s="46"/>
      <c r="N65" s="46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6:31" x14ac:dyDescent="0.3">
      <c r="F66" s="46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6:31" x14ac:dyDescent="0.3">
      <c r="F67" s="46"/>
      <c r="G67" s="12"/>
      <c r="H67" s="12"/>
      <c r="I67" s="12"/>
      <c r="J67" s="12"/>
      <c r="K67" s="12"/>
      <c r="L67" s="12"/>
      <c r="M67" s="12"/>
      <c r="N67" s="12"/>
      <c r="O67" s="46"/>
      <c r="P67" s="46"/>
      <c r="Q67" s="46"/>
      <c r="R67" s="46"/>
      <c r="S67" s="46"/>
      <c r="T67" s="46"/>
      <c r="U67" s="46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6:31" x14ac:dyDescent="0.3">
      <c r="F68" s="4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6:31" x14ac:dyDescent="0.3">
      <c r="F69" s="46"/>
      <c r="G69" s="12"/>
      <c r="H69" s="12"/>
      <c r="I69" s="12"/>
      <c r="J69" s="12"/>
      <c r="K69" s="12"/>
      <c r="L69" s="12"/>
      <c r="M69" s="12"/>
      <c r="N69" s="12"/>
      <c r="O69" s="46"/>
      <c r="P69" s="46"/>
      <c r="Q69" s="46"/>
      <c r="R69" s="46"/>
      <c r="S69" s="46"/>
      <c r="T69" s="46"/>
      <c r="U69" s="46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6:31" x14ac:dyDescent="0.3">
      <c r="F70" s="46"/>
      <c r="G70" s="46"/>
      <c r="H70" s="46"/>
      <c r="I70" s="46"/>
      <c r="J70" s="46"/>
      <c r="K70" s="46"/>
      <c r="L70" s="46"/>
      <c r="M70" s="46"/>
      <c r="N70" s="46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6:31" x14ac:dyDescent="0.3">
      <c r="F71" s="46"/>
      <c r="G71" s="46"/>
      <c r="H71" s="46"/>
      <c r="I71" s="46"/>
      <c r="J71" s="46"/>
      <c r="K71" s="46"/>
      <c r="L71" s="46"/>
      <c r="M71" s="46"/>
      <c r="N71" s="46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6:31" x14ac:dyDescent="0.3">
      <c r="F72" s="46"/>
      <c r="G72" s="46"/>
      <c r="H72" s="46"/>
      <c r="I72" s="46"/>
      <c r="J72" s="46"/>
      <c r="K72" s="46"/>
      <c r="L72" s="46"/>
      <c r="M72" s="46"/>
      <c r="N72" s="46"/>
      <c r="O72" s="12"/>
      <c r="P72" s="12"/>
      <c r="Q72" s="12"/>
      <c r="R72" s="12"/>
      <c r="S72" s="12"/>
      <c r="T72" s="12"/>
      <c r="U72" s="12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6:31" x14ac:dyDescent="0.3">
      <c r="F73" s="46"/>
      <c r="G73" s="46"/>
      <c r="H73" s="46"/>
      <c r="I73" s="46"/>
      <c r="J73" s="46"/>
      <c r="K73" s="46"/>
      <c r="L73" s="46"/>
      <c r="M73" s="46"/>
      <c r="N73" s="46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6:31" x14ac:dyDescent="0.3"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6:31" x14ac:dyDescent="0.3"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6:31" x14ac:dyDescent="0.3"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6:31" x14ac:dyDescent="0.3"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6:31" x14ac:dyDescent="0.3"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6:31" x14ac:dyDescent="0.3"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6:31" x14ac:dyDescent="0.3"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spans="6:31" x14ac:dyDescent="0.3"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spans="6:31" x14ac:dyDescent="0.3"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6:31" x14ac:dyDescent="0.3"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6:31" x14ac:dyDescent="0.3"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6:31" x14ac:dyDescent="0.3"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spans="6:31" x14ac:dyDescent="0.3"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spans="6:31" x14ac:dyDescent="0.3"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6:31" x14ac:dyDescent="0.3"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6:31" x14ac:dyDescent="0.3"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6:31" x14ac:dyDescent="0.3"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6:31" x14ac:dyDescent="0.3"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6:31" x14ac:dyDescent="0.3"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spans="6:31" x14ac:dyDescent="0.3"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6:31" x14ac:dyDescent="0.3"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6:31" x14ac:dyDescent="0.3"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6:31" x14ac:dyDescent="0.3"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6:31" x14ac:dyDescent="0.3"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6:31" x14ac:dyDescent="0.3"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6:31" x14ac:dyDescent="0.3"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6:31" x14ac:dyDescent="0.3"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spans="6:31" x14ac:dyDescent="0.3"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spans="6:31" x14ac:dyDescent="0.3"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spans="6:31" x14ac:dyDescent="0.3"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6:31" x14ac:dyDescent="0.3"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6:31" x14ac:dyDescent="0.3"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6:31" x14ac:dyDescent="0.3"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6:31" x14ac:dyDescent="0.3"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spans="6:31" x14ac:dyDescent="0.3"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6:31" x14ac:dyDescent="0.3"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6:31" x14ac:dyDescent="0.3"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6:31" x14ac:dyDescent="0.3"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6:31" x14ac:dyDescent="0.3"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15:31" x14ac:dyDescent="0.3"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spans="15:31" x14ac:dyDescent="0.3"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spans="15:31" x14ac:dyDescent="0.3"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spans="15:31" x14ac:dyDescent="0.3"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15:31" x14ac:dyDescent="0.3"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15:31" x14ac:dyDescent="0.3"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5:31" x14ac:dyDescent="0.3"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5:31" x14ac:dyDescent="0.3"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</sheetData>
  <mergeCells count="1">
    <mergeCell ref="L5:L6"/>
  </mergeCells>
  <pageMargins left="0.7" right="0.7" top="0.75" bottom="0.75" header="0.3" footer="0.3"/>
  <pageSetup orientation="portrait" horizontalDpi="90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830A-1E10-4E52-A50A-8C102C70D70B}">
  <sheetPr>
    <pageSetUpPr fitToPage="1"/>
  </sheetPr>
  <dimension ref="A1:Y78"/>
  <sheetViews>
    <sheetView showGridLines="0" tabSelected="1" zoomScale="80" zoomScaleNormal="80" workbookViewId="0">
      <selection activeCell="J25" sqref="J25"/>
    </sheetView>
  </sheetViews>
  <sheetFormatPr defaultRowHeight="14.4" x14ac:dyDescent="0.3"/>
  <cols>
    <col min="2" max="2" width="25" bestFit="1" customWidth="1"/>
    <col min="3" max="3" width="8.109375" bestFit="1" customWidth="1"/>
    <col min="4" max="4" width="8.5546875" bestFit="1" customWidth="1"/>
    <col min="5" max="5" width="9.88671875" bestFit="1" customWidth="1"/>
    <col min="6" max="6" width="8" customWidth="1"/>
    <col min="7" max="8" width="10.109375" bestFit="1" customWidth="1"/>
    <col min="9" max="10" width="11.33203125" bestFit="1" customWidth="1"/>
    <col min="11" max="11" width="12.33203125" customWidth="1"/>
    <col min="12" max="12" width="15.6640625" customWidth="1"/>
    <col min="13" max="13" width="8.6640625" bestFit="1" customWidth="1"/>
    <col min="14" max="14" width="10.109375" bestFit="1" customWidth="1"/>
    <col min="15" max="15" width="7.44140625" customWidth="1"/>
  </cols>
  <sheetData>
    <row r="1" spans="2:25" ht="15" thickBot="1" x14ac:dyDescent="0.35">
      <c r="B1" s="1" t="s">
        <v>53</v>
      </c>
      <c r="C1" s="58">
        <v>0.11</v>
      </c>
      <c r="D1" s="58">
        <v>0.89</v>
      </c>
    </row>
    <row r="2" spans="2:25" x14ac:dyDescent="0.3">
      <c r="B2" s="6" t="s">
        <v>5</v>
      </c>
      <c r="C2" s="7">
        <v>2017</v>
      </c>
      <c r="D2" s="7">
        <v>2018</v>
      </c>
      <c r="E2" s="7" t="s">
        <v>2</v>
      </c>
      <c r="I2" s="40" t="str">
        <f>'Tranche 1 - Without Incentive'!I1</f>
        <v>MW</v>
      </c>
      <c r="K2" s="38" t="str">
        <f>'Tranche 1 - Without Incentive'!K1</f>
        <v>Investment Tax Credit</v>
      </c>
      <c r="L2" s="47">
        <f>'Tranche 1 - Without Incentive'!L1</f>
        <v>0.3</v>
      </c>
      <c r="P2" s="38" t="s">
        <v>41</v>
      </c>
      <c r="Q2" s="52">
        <v>1.7999999999999999E-2</v>
      </c>
      <c r="S2" s="16" t="str">
        <f>'Tranche 1 - Without Incentive'!O1</f>
        <v>Tax Dep Tables</v>
      </c>
      <c r="T2" s="17"/>
      <c r="U2" s="18"/>
      <c r="V2" s="17"/>
      <c r="W2" s="17"/>
      <c r="X2" s="17"/>
      <c r="Y2" s="19"/>
    </row>
    <row r="3" spans="2:25" x14ac:dyDescent="0.3">
      <c r="B3" s="1" t="s">
        <v>0</v>
      </c>
      <c r="C3" s="2">
        <f>'Tranche 1 - Without Incentive'!C2</f>
        <v>9810.0259999999998</v>
      </c>
      <c r="D3" s="2">
        <f>'Tranche 1 - Without Incentive'!D2</f>
        <v>79372.028999999995</v>
      </c>
      <c r="E3" s="2">
        <f>'Tranche 1 - Without Incentive'!E2</f>
        <v>89182.054999999993</v>
      </c>
      <c r="G3" s="3"/>
      <c r="H3" s="38" t="str">
        <f>'Tranche 1 - Without Incentive'!H2</f>
        <v>Balm Solar</v>
      </c>
      <c r="I3" s="41">
        <f>'Tranche 1 - Without Incentive'!I2</f>
        <v>74.408000000000001</v>
      </c>
      <c r="K3" s="48" t="str">
        <f>'Tranche 1 - Without Incentive'!K2</f>
        <v>Permanent tax diff</v>
      </c>
      <c r="L3" s="49">
        <f>'Tranche 1 - Without Incentive'!L2</f>
        <v>0.15</v>
      </c>
      <c r="M3" s="49">
        <f>'Tranche 1 - Without Incentive'!M2</f>
        <v>0.85</v>
      </c>
      <c r="P3" s="38" t="s">
        <v>32</v>
      </c>
      <c r="Q3" s="52">
        <f>((0.6*1.8)+0.13)/100</f>
        <v>1.21E-2</v>
      </c>
      <c r="S3" s="20"/>
      <c r="T3" s="21"/>
      <c r="U3" s="21"/>
      <c r="V3" s="21"/>
      <c r="W3" s="21"/>
      <c r="X3" s="21"/>
      <c r="Y3" s="22"/>
    </row>
    <row r="4" spans="2:25" x14ac:dyDescent="0.3">
      <c r="B4" s="1" t="s">
        <v>51</v>
      </c>
      <c r="C4" s="2">
        <f>E4*$C$1</f>
        <v>41.83793020000023</v>
      </c>
      <c r="D4" s="2">
        <f>E4*$D$1</f>
        <v>338.50688980000183</v>
      </c>
      <c r="E4" s="2">
        <f>0.25*((1500*$I$3)-($E$3+$E$14+$E$7))</f>
        <v>380.34482000000207</v>
      </c>
      <c r="H4" s="38" t="str">
        <f>'Tranche 1 - Without Incentive'!H3</f>
        <v>Payne Creek Solar</v>
      </c>
      <c r="I4" s="41">
        <f>'Tranche 1 - Without Incentive'!I3</f>
        <v>70.287999999999997</v>
      </c>
      <c r="K4" s="51" t="str">
        <f>'Tranche 1 - Without Incentive'!K3</f>
        <v>Tax Rate eff</v>
      </c>
      <c r="L4" s="52">
        <f>'Tranche 1 - Without Incentive'!L3</f>
        <v>0.38575000000000004</v>
      </c>
      <c r="M4" s="52">
        <f>'Tranche 1 - Without Incentive'!M3</f>
        <v>0.25344999999999995</v>
      </c>
      <c r="P4" s="38"/>
      <c r="Q4" s="52"/>
      <c r="S4" s="23" t="s">
        <v>23</v>
      </c>
      <c r="T4" s="24" t="s">
        <v>24</v>
      </c>
      <c r="U4" s="24" t="s">
        <v>25</v>
      </c>
      <c r="V4" s="24" t="s">
        <v>26</v>
      </c>
      <c r="W4" s="24" t="s">
        <v>27</v>
      </c>
      <c r="X4" s="24" t="s">
        <v>28</v>
      </c>
      <c r="Y4" s="22"/>
    </row>
    <row r="5" spans="2:25" x14ac:dyDescent="0.3">
      <c r="B5" s="1" t="s">
        <v>1</v>
      </c>
      <c r="C5" s="2">
        <f>'Tranche 1 - Without Incentive'!C3</f>
        <v>9841.6720000000005</v>
      </c>
      <c r="D5" s="2">
        <f>'Tranche 1 - Without Incentive'!D3</f>
        <v>79628.077999999994</v>
      </c>
      <c r="E5" s="2">
        <f>'Tranche 1 - Without Incentive'!E3</f>
        <v>89469.75</v>
      </c>
      <c r="S5" s="20"/>
      <c r="T5" s="24" t="s">
        <v>29</v>
      </c>
      <c r="U5" s="24" t="s">
        <v>29</v>
      </c>
      <c r="V5" s="24" t="s">
        <v>29</v>
      </c>
      <c r="W5" s="24" t="s">
        <v>30</v>
      </c>
      <c r="X5" s="24" t="s">
        <v>30</v>
      </c>
      <c r="Y5" s="22"/>
    </row>
    <row r="6" spans="2:25" x14ac:dyDescent="0.3">
      <c r="B6" s="1" t="s">
        <v>52</v>
      </c>
      <c r="C6" s="2">
        <f>E6*$C$1</f>
        <v>339.85494070000021</v>
      </c>
      <c r="D6" s="2">
        <f>E6*$D$1</f>
        <v>2749.7354293000017</v>
      </c>
      <c r="E6" s="2">
        <f>0.25*((1500*$I$4)-($E$5+$E$15+$E$8))</f>
        <v>3089.5903700000017</v>
      </c>
      <c r="L6" s="59" t="s">
        <v>47</v>
      </c>
      <c r="M6" s="39"/>
      <c r="O6" s="38" t="s">
        <v>33</v>
      </c>
      <c r="P6" s="56">
        <v>0.10249999999999999</v>
      </c>
      <c r="Q6" s="56">
        <v>0.54</v>
      </c>
      <c r="S6" s="25">
        <v>1</v>
      </c>
      <c r="T6" s="26">
        <v>2</v>
      </c>
      <c r="U6" s="26">
        <v>3</v>
      </c>
      <c r="V6" s="26">
        <v>4</v>
      </c>
      <c r="W6" s="26">
        <v>5</v>
      </c>
      <c r="X6" s="26">
        <v>6</v>
      </c>
      <c r="Y6" s="22"/>
    </row>
    <row r="7" spans="2:25" ht="15" customHeight="1" x14ac:dyDescent="0.3">
      <c r="B7" s="1" t="s">
        <v>39</v>
      </c>
      <c r="C7" s="2">
        <v>0</v>
      </c>
      <c r="D7" s="2">
        <v>18720.308720000001</v>
      </c>
      <c r="E7" s="2">
        <f t="shared" ref="E7:E8" si="0">SUM(C7:D7)</f>
        <v>18720.308720000001</v>
      </c>
      <c r="L7" s="60"/>
      <c r="M7" s="39"/>
      <c r="O7" s="38" t="s">
        <v>34</v>
      </c>
      <c r="P7" s="56">
        <v>0</v>
      </c>
      <c r="Q7" s="56">
        <v>0</v>
      </c>
      <c r="S7" s="27">
        <v>1</v>
      </c>
      <c r="T7" s="28">
        <f>'Tranche 1 - Without Incentive'!P6</f>
        <v>0.33329999999999999</v>
      </c>
      <c r="U7" s="29">
        <f>'Tranche 1 - Without Incentive'!Q6</f>
        <v>0.2</v>
      </c>
      <c r="V7" s="29">
        <f>'Tranche 1 - Without Incentive'!R6</f>
        <v>0.1</v>
      </c>
      <c r="W7" s="29">
        <f>'Tranche 1 - Without Incentive'!S6</f>
        <v>0.05</v>
      </c>
      <c r="X7" s="30">
        <f>'Tranche 1 - Without Incentive'!T6</f>
        <v>3.7499999999999999E-2</v>
      </c>
      <c r="Y7" s="22"/>
    </row>
    <row r="8" spans="2:25" x14ac:dyDescent="0.3">
      <c r="B8" s="1" t="s">
        <v>40</v>
      </c>
      <c r="C8" s="2">
        <v>0</v>
      </c>
      <c r="D8" s="2">
        <v>1408.57152</v>
      </c>
      <c r="E8" s="2">
        <f t="shared" si="0"/>
        <v>1408.57152</v>
      </c>
      <c r="H8" s="38" t="str">
        <f>'Tranche 1 - Without Incentive'!H7</f>
        <v>Balm Solar:</v>
      </c>
      <c r="I8" s="4">
        <f>'Tranche 1 - Without Incentive'!I7</f>
        <v>4905.0129999999999</v>
      </c>
      <c r="J8" s="4">
        <f>'Tranche 1 - Without Incentive'!J7</f>
        <v>31748.811600000001</v>
      </c>
      <c r="K8" s="4">
        <f>'Tranche 1 - Without Incentive'!K7</f>
        <v>36653.8246</v>
      </c>
      <c r="L8" s="5">
        <f>'Tranche 1 - Without Incentive'!L7</f>
        <v>0.41</v>
      </c>
      <c r="M8" s="5">
        <f>'Tranche 1 - Without Incentive'!M7</f>
        <v>0.59000000000000008</v>
      </c>
      <c r="O8" s="38" t="s">
        <v>35</v>
      </c>
      <c r="P8" s="56">
        <v>4.4999999999999998E-2</v>
      </c>
      <c r="Q8" s="56">
        <v>0.46</v>
      </c>
      <c r="S8" s="27">
        <f t="shared" ref="S8:S29" si="1">S7+1</f>
        <v>2</v>
      </c>
      <c r="T8" s="28">
        <f>'Tranche 1 - Without Incentive'!P7</f>
        <v>0.44450000000000001</v>
      </c>
      <c r="U8" s="29">
        <f>'Tranche 1 - Without Incentive'!Q7</f>
        <v>0.32</v>
      </c>
      <c r="V8" s="29">
        <f>'Tranche 1 - Without Incentive'!R7</f>
        <v>0.18</v>
      </c>
      <c r="W8" s="29">
        <f>'Tranche 1 - Without Incentive'!S7</f>
        <v>9.5000000000000001E-2</v>
      </c>
      <c r="X8" s="30">
        <f>'Tranche 1 - Without Incentive'!T7</f>
        <v>7.2190000000000004E-2</v>
      </c>
      <c r="Y8" s="22"/>
    </row>
    <row r="9" spans="2:25" x14ac:dyDescent="0.3">
      <c r="E9" s="3"/>
      <c r="H9" s="38" t="str">
        <f>'Tranche 1 - Without Incentive'!H8</f>
        <v>Paynce Creek Solar:</v>
      </c>
      <c r="I9" s="4">
        <f>'Tranche 1 - Without Incentive'!I8</f>
        <v>4920.8360000000002</v>
      </c>
      <c r="J9" s="4">
        <f>'Tranche 1 - Without Incentive'!J8</f>
        <v>31851.231199999998</v>
      </c>
      <c r="K9" s="4">
        <f>'Tranche 1 - Without Incentive'!K8</f>
        <v>36772.067199999998</v>
      </c>
      <c r="L9" s="5">
        <f>'Tranche 1 - Without Incentive'!L8</f>
        <v>0.41</v>
      </c>
      <c r="M9" s="5">
        <f>'Tranche 1 - Without Incentive'!M8</f>
        <v>0.59000000000000008</v>
      </c>
      <c r="S9" s="27">
        <f t="shared" si="1"/>
        <v>3</v>
      </c>
      <c r="T9" s="28">
        <f>'Tranche 1 - Without Incentive'!P8</f>
        <v>0.14810000000000001</v>
      </c>
      <c r="U9" s="29">
        <f>'Tranche 1 - Without Incentive'!Q8</f>
        <v>0.192</v>
      </c>
      <c r="V9" s="29">
        <f>'Tranche 1 - Without Incentive'!R8</f>
        <v>0.14399999999999999</v>
      </c>
      <c r="W9" s="29">
        <f>'Tranche 1 - Without Incentive'!S8</f>
        <v>8.5500000000000007E-2</v>
      </c>
      <c r="X9" s="30">
        <f>'Tranche 1 - Without Incentive'!T8</f>
        <v>6.6769999999999996E-2</v>
      </c>
      <c r="Y9" s="31"/>
    </row>
    <row r="10" spans="2:25" x14ac:dyDescent="0.3">
      <c r="F10" s="4"/>
      <c r="S10" s="27">
        <f>S9+1</f>
        <v>4</v>
      </c>
      <c r="T10" s="28">
        <f>'Tranche 1 - Without Incentive'!P9</f>
        <v>7.4099999999999999E-2</v>
      </c>
      <c r="U10" s="29">
        <f>'Tranche 1 - Without Incentive'!Q9</f>
        <v>0.1152</v>
      </c>
      <c r="V10" s="29">
        <f>'Tranche 1 - Without Incentive'!R9</f>
        <v>0.1152</v>
      </c>
      <c r="W10" s="29">
        <f>'Tranche 1 - Without Incentive'!S9</f>
        <v>7.6999999999999999E-2</v>
      </c>
      <c r="X10" s="30">
        <f>'Tranche 1 - Without Incentive'!T9</f>
        <v>6.1769999999999999E-2</v>
      </c>
      <c r="Y10" s="22"/>
    </row>
    <row r="11" spans="2:25" x14ac:dyDescent="0.3">
      <c r="C11" s="4"/>
      <c r="D11" s="4"/>
      <c r="E11" s="4"/>
      <c r="S11" s="27">
        <f t="shared" si="1"/>
        <v>5</v>
      </c>
      <c r="T11" s="32">
        <f>'Tranche 1 - Without Incentive'!P10</f>
        <v>0</v>
      </c>
      <c r="U11" s="29">
        <f>'Tranche 1 - Without Incentive'!Q10</f>
        <v>0.1152</v>
      </c>
      <c r="V11" s="29">
        <f>'Tranche 1 - Without Incentive'!R10</f>
        <v>9.2200000000000004E-2</v>
      </c>
      <c r="W11" s="29">
        <f>'Tranche 1 - Without Incentive'!S10</f>
        <v>6.93E-2</v>
      </c>
      <c r="X11" s="30">
        <f>'Tranche 1 - Without Incentive'!T10</f>
        <v>5.713E-2</v>
      </c>
      <c r="Y11" s="22"/>
    </row>
    <row r="12" spans="2:25" x14ac:dyDescent="0.3">
      <c r="S12" s="27">
        <f t="shared" si="1"/>
        <v>6</v>
      </c>
      <c r="T12" s="32">
        <f>'Tranche 1 - Without Incentive'!P11</f>
        <v>0</v>
      </c>
      <c r="U12" s="29">
        <f>'Tranche 1 - Without Incentive'!Q11</f>
        <v>5.7599999999999998E-2</v>
      </c>
      <c r="V12" s="29">
        <f>'Tranche 1 - Without Incentive'!R11</f>
        <v>7.3700000000000002E-2</v>
      </c>
      <c r="W12" s="29">
        <f>'Tranche 1 - Without Incentive'!S11</f>
        <v>6.2300000000000001E-2</v>
      </c>
      <c r="X12" s="30">
        <f>'Tranche 1 - Without Incentive'!T11</f>
        <v>5.2850000000000001E-2</v>
      </c>
      <c r="Y12" s="22"/>
    </row>
    <row r="13" spans="2:25" x14ac:dyDescent="0.3">
      <c r="B13" s="6" t="s">
        <v>21</v>
      </c>
      <c r="C13" s="7">
        <v>2017</v>
      </c>
      <c r="D13" s="7">
        <v>2018</v>
      </c>
      <c r="E13" s="7" t="s">
        <v>2</v>
      </c>
      <c r="S13" s="27">
        <f t="shared" si="1"/>
        <v>7</v>
      </c>
      <c r="T13" s="32">
        <f>'Tranche 1 - Without Incentive'!P12</f>
        <v>0</v>
      </c>
      <c r="U13" s="33">
        <f>'Tranche 1 - Without Incentive'!Q12</f>
        <v>0</v>
      </c>
      <c r="V13" s="29">
        <f>'Tranche 1 - Without Incentive'!R12</f>
        <v>6.5500000000000003E-2</v>
      </c>
      <c r="W13" s="29">
        <f>'Tranche 1 - Without Incentive'!S12</f>
        <v>5.8999999999999997E-2</v>
      </c>
      <c r="X13" s="30">
        <f>'Tranche 1 - Without Incentive'!T12</f>
        <v>4.888E-2</v>
      </c>
      <c r="Y13" s="22"/>
    </row>
    <row r="14" spans="2:25" x14ac:dyDescent="0.3">
      <c r="B14" s="1" t="s">
        <v>0</v>
      </c>
      <c r="C14" s="2">
        <f>'Tranche 1 - Without Incentive'!C6</f>
        <v>127.566</v>
      </c>
      <c r="D14" s="2">
        <f>'Tranche 1 - Without Incentive'!D6</f>
        <v>2060.6909999999998</v>
      </c>
      <c r="E14" s="2">
        <f>'Tranche 1 - Without Incentive'!E6</f>
        <v>2188.2569999999996</v>
      </c>
      <c r="S14" s="27">
        <f t="shared" si="1"/>
        <v>8</v>
      </c>
      <c r="T14" s="32">
        <f>'Tranche 1 - Without Incentive'!P13</f>
        <v>0</v>
      </c>
      <c r="U14" s="33">
        <f>'Tranche 1 - Without Incentive'!Q13</f>
        <v>0</v>
      </c>
      <c r="V14" s="29">
        <f>'Tranche 1 - Without Incentive'!R13</f>
        <v>6.5500000000000003E-2</v>
      </c>
      <c r="W14" s="29">
        <f>'Tranche 1 - Without Incentive'!S13</f>
        <v>5.8999999999999997E-2</v>
      </c>
      <c r="X14" s="30">
        <f>'Tranche 1 - Without Incentive'!T13</f>
        <v>4.5220000000000003E-2</v>
      </c>
      <c r="Y14" s="34"/>
    </row>
    <row r="15" spans="2:25" x14ac:dyDescent="0.3">
      <c r="B15" s="1" t="s">
        <v>1</v>
      </c>
      <c r="C15" s="2">
        <f>'Tranche 1 - Without Incentive'!C7</f>
        <v>127.97799999999999</v>
      </c>
      <c r="D15" s="2">
        <f>'Tranche 1 - Without Incentive'!D7</f>
        <v>2067.3389999999999</v>
      </c>
      <c r="E15" s="2">
        <f>'Tranche 1 - Without Incentive'!E7</f>
        <v>2195.317</v>
      </c>
      <c r="F15" s="3"/>
      <c r="G15" s="3"/>
      <c r="S15" s="27">
        <f t="shared" si="1"/>
        <v>9</v>
      </c>
      <c r="T15" s="32">
        <f>'Tranche 1 - Without Incentive'!P14</f>
        <v>0</v>
      </c>
      <c r="U15" s="33">
        <f>'Tranche 1 - Without Incentive'!Q14</f>
        <v>0</v>
      </c>
      <c r="V15" s="29">
        <f>'Tranche 1 - Without Incentive'!R14</f>
        <v>6.5600000000000006E-2</v>
      </c>
      <c r="W15" s="29">
        <f>'Tranche 1 - Without Incentive'!S14</f>
        <v>5.91E-2</v>
      </c>
      <c r="X15" s="30">
        <f>'Tranche 1 - Without Incentive'!T14</f>
        <v>4.462E-2</v>
      </c>
      <c r="Y15" s="34"/>
    </row>
    <row r="16" spans="2:25" x14ac:dyDescent="0.3">
      <c r="D16" s="3"/>
      <c r="F16" s="3"/>
      <c r="S16" s="27">
        <f t="shared" si="1"/>
        <v>10</v>
      </c>
      <c r="T16" s="32">
        <f>'Tranche 1 - Without Incentive'!P15</f>
        <v>0</v>
      </c>
      <c r="U16" s="33">
        <f>'Tranche 1 - Without Incentive'!Q15</f>
        <v>0</v>
      </c>
      <c r="V16" s="29">
        <f>'Tranche 1 - Without Incentive'!R15</f>
        <v>6.5500000000000003E-2</v>
      </c>
      <c r="W16" s="29">
        <f>'Tranche 1 - Without Incentive'!S15</f>
        <v>5.8999999999999997E-2</v>
      </c>
      <c r="X16" s="30">
        <f>'Tranche 1 - Without Incentive'!T15</f>
        <v>4.4609999999999997E-2</v>
      </c>
      <c r="Y16" s="34"/>
    </row>
    <row r="17" spans="1:25" x14ac:dyDescent="0.3">
      <c r="C17" s="3"/>
      <c r="D17" s="3"/>
      <c r="S17" s="27">
        <f t="shared" si="1"/>
        <v>11</v>
      </c>
      <c r="T17" s="32">
        <f>'Tranche 1 - Without Incentive'!P16</f>
        <v>0</v>
      </c>
      <c r="U17" s="33">
        <f>'Tranche 1 - Without Incentive'!Q16</f>
        <v>0</v>
      </c>
      <c r="V17" s="29">
        <f>'Tranche 1 - Without Incentive'!R16</f>
        <v>3.2800000000000003E-2</v>
      </c>
      <c r="W17" s="29">
        <f>'Tranche 1 - Without Incentive'!S16</f>
        <v>5.91E-2</v>
      </c>
      <c r="X17" s="30">
        <f>'Tranche 1 - Without Incentive'!T16</f>
        <v>4.462E-2</v>
      </c>
      <c r="Y17" s="34"/>
    </row>
    <row r="18" spans="1:25" s="11" customFormat="1" x14ac:dyDescent="0.3">
      <c r="A18"/>
      <c r="B18"/>
      <c r="C18"/>
      <c r="D18"/>
      <c r="E18"/>
      <c r="F18"/>
      <c r="H18"/>
      <c r="I18"/>
      <c r="J18"/>
      <c r="K18"/>
      <c r="L18"/>
      <c r="M18"/>
      <c r="N18"/>
      <c r="O18"/>
      <c r="P18"/>
      <c r="S18" s="27">
        <f t="shared" si="1"/>
        <v>12</v>
      </c>
      <c r="T18" s="32">
        <f>'Tranche 1 - Without Incentive'!P17</f>
        <v>0</v>
      </c>
      <c r="U18" s="33">
        <f>'Tranche 1 - Without Incentive'!Q17</f>
        <v>0</v>
      </c>
      <c r="V18" s="33">
        <f>'Tranche 1 - Without Incentive'!R17</f>
        <v>0</v>
      </c>
      <c r="W18" s="29">
        <f>'Tranche 1 - Without Incentive'!S17</f>
        <v>5.8999999999999997E-2</v>
      </c>
      <c r="X18" s="30">
        <f>'Tranche 1 - Without Incentive'!T17</f>
        <v>4.4609999999999997E-2</v>
      </c>
      <c r="Y18" s="34"/>
    </row>
    <row r="19" spans="1:25" s="9" customFormat="1" x14ac:dyDescent="0.3">
      <c r="A19"/>
      <c r="B19"/>
      <c r="C19"/>
      <c r="D19"/>
      <c r="E19"/>
      <c r="F19"/>
      <c r="H19"/>
      <c r="I19"/>
      <c r="J19"/>
      <c r="K19"/>
      <c r="L19"/>
      <c r="M19"/>
      <c r="N19"/>
      <c r="O19"/>
      <c r="P19"/>
      <c r="S19" s="27">
        <f t="shared" si="1"/>
        <v>13</v>
      </c>
      <c r="T19" s="32">
        <f>'Tranche 1 - Without Incentive'!P18</f>
        <v>0</v>
      </c>
      <c r="U19" s="33">
        <f>'Tranche 1 - Without Incentive'!Q18</f>
        <v>0</v>
      </c>
      <c r="V19" s="33">
        <f>'Tranche 1 - Without Incentive'!R18</f>
        <v>0</v>
      </c>
      <c r="W19" s="29">
        <f>'Tranche 1 - Without Incentive'!S18</f>
        <v>5.91E-2</v>
      </c>
      <c r="X19" s="30">
        <f>'Tranche 1 - Without Incentive'!T18</f>
        <v>4.462E-2</v>
      </c>
      <c r="Y19" s="34"/>
    </row>
    <row r="20" spans="1:25" s="9" customFormat="1" x14ac:dyDescent="0.3">
      <c r="A20"/>
      <c r="B20" s="10" t="s">
        <v>0</v>
      </c>
      <c r="C20" s="15">
        <v>2017</v>
      </c>
      <c r="D20" s="15">
        <f>C20+1</f>
        <v>2018</v>
      </c>
      <c r="E20" s="15">
        <f t="shared" ref="E20" si="2">D20+1</f>
        <v>2019</v>
      </c>
      <c r="F20"/>
      <c r="H20"/>
      <c r="I20"/>
      <c r="J20"/>
      <c r="K20"/>
      <c r="L20"/>
      <c r="M20"/>
      <c r="N20"/>
      <c r="O20"/>
      <c r="P20"/>
      <c r="S20" s="27">
        <f t="shared" si="1"/>
        <v>14</v>
      </c>
      <c r="T20" s="32">
        <f>'Tranche 1 - Without Incentive'!P19</f>
        <v>0</v>
      </c>
      <c r="U20" s="33">
        <f>'Tranche 1 - Without Incentive'!Q19</f>
        <v>0</v>
      </c>
      <c r="V20" s="33">
        <f>'Tranche 1 - Without Incentive'!R19</f>
        <v>0</v>
      </c>
      <c r="W20" s="29">
        <f>'Tranche 1 - Without Incentive'!S19</f>
        <v>5.8999999999999997E-2</v>
      </c>
      <c r="X20" s="30">
        <f>'Tranche 1 - Without Incentive'!T19</f>
        <v>4.4609999999999997E-2</v>
      </c>
      <c r="Y20" s="34"/>
    </row>
    <row r="21" spans="1:25" s="9" customFormat="1" x14ac:dyDescent="0.3">
      <c r="A21"/>
      <c r="B21" s="8" t="str">
        <f>'Tranche 1 - Without Incentive'!B12</f>
        <v>Tax Year</v>
      </c>
      <c r="C21" s="12">
        <f>'Tranche 1 - Without Incentive'!C12</f>
        <v>0</v>
      </c>
      <c r="D21" s="12">
        <f>'Tranche 1 - Without Incentive'!D12</f>
        <v>1</v>
      </c>
      <c r="E21" s="12">
        <f>'Tranche 1 - Without Incentive'!E12</f>
        <v>2</v>
      </c>
      <c r="F21"/>
      <c r="H21"/>
      <c r="I21"/>
      <c r="J21"/>
      <c r="K21"/>
      <c r="L21"/>
      <c r="M21"/>
      <c r="N21"/>
      <c r="O21"/>
      <c r="P21"/>
      <c r="S21" s="27">
        <f t="shared" si="1"/>
        <v>15</v>
      </c>
      <c r="T21" s="32">
        <f>'Tranche 1 - Without Incentive'!P20</f>
        <v>0</v>
      </c>
      <c r="U21" s="33">
        <f>'Tranche 1 - Without Incentive'!Q20</f>
        <v>0</v>
      </c>
      <c r="V21" s="33">
        <f>'Tranche 1 - Without Incentive'!R20</f>
        <v>0</v>
      </c>
      <c r="W21" s="29">
        <f>'Tranche 1 - Without Incentive'!S20</f>
        <v>5.91E-2</v>
      </c>
      <c r="X21" s="30">
        <f>'Tranche 1 - Without Incentive'!T20</f>
        <v>4.462E-2</v>
      </c>
      <c r="Y21" s="34"/>
    </row>
    <row r="22" spans="1:25" s="9" customFormat="1" x14ac:dyDescent="0.3">
      <c r="A22"/>
      <c r="B22" s="8" t="str">
        <f>'Tranche 1 - Without Incentive'!B13</f>
        <v>Tax Column</v>
      </c>
      <c r="C22" s="12">
        <f>'Tranche 1 - Without Incentive'!C13</f>
        <v>0</v>
      </c>
      <c r="D22" s="12">
        <f>'Tranche 1 - Without Incentive'!D13</f>
        <v>3</v>
      </c>
      <c r="E22" s="12">
        <f>'Tranche 1 - Without Incentive'!E13</f>
        <v>3</v>
      </c>
      <c r="F22"/>
      <c r="H22"/>
      <c r="I22"/>
      <c r="J22"/>
      <c r="K22"/>
      <c r="L22"/>
      <c r="M22"/>
      <c r="N22"/>
      <c r="O22"/>
      <c r="P22"/>
      <c r="S22" s="27">
        <f t="shared" si="1"/>
        <v>16</v>
      </c>
      <c r="T22" s="32">
        <f>'Tranche 1 - Without Incentive'!P21</f>
        <v>0</v>
      </c>
      <c r="U22" s="33">
        <f>'Tranche 1 - Without Incentive'!Q21</f>
        <v>0</v>
      </c>
      <c r="V22" s="33">
        <f>'Tranche 1 - Without Incentive'!R21</f>
        <v>0</v>
      </c>
      <c r="W22" s="29">
        <f>'Tranche 1 - Without Incentive'!S21</f>
        <v>2.9499999999999998E-2</v>
      </c>
      <c r="X22" s="30">
        <f>'Tranche 1 - Without Incentive'!T21</f>
        <v>4.4609999999999997E-2</v>
      </c>
      <c r="Y22" s="34"/>
    </row>
    <row r="23" spans="1:25" s="9" customFormat="1" x14ac:dyDescent="0.3">
      <c r="A23"/>
      <c r="B23" s="8" t="str">
        <f>'Tranche 1 - Without Incentive'!B14</f>
        <v>Book Life</v>
      </c>
      <c r="C23" s="12">
        <f>'Tranche 1 - Without Incentive'!C14</f>
        <v>0</v>
      </c>
      <c r="D23" s="12">
        <f>'Tranche 1 - Without Incentive'!D14</f>
        <v>30</v>
      </c>
      <c r="E23" s="12">
        <f>'Tranche 1 - Without Incentive'!E14</f>
        <v>30</v>
      </c>
      <c r="F23"/>
      <c r="H23"/>
      <c r="I23"/>
      <c r="J23"/>
      <c r="K23"/>
      <c r="L23"/>
      <c r="M23"/>
      <c r="N23"/>
      <c r="O23"/>
      <c r="P23"/>
      <c r="S23" s="27">
        <f t="shared" si="1"/>
        <v>17</v>
      </c>
      <c r="T23" s="32">
        <f>'Tranche 1 - Without Incentive'!P22</f>
        <v>0</v>
      </c>
      <c r="U23" s="33">
        <f>'Tranche 1 - Without Incentive'!Q22</f>
        <v>0</v>
      </c>
      <c r="V23" s="33">
        <f>'Tranche 1 - Without Incentive'!R22</f>
        <v>0</v>
      </c>
      <c r="W23" s="33">
        <f>'Tranche 1 - Without Incentive'!S22</f>
        <v>0</v>
      </c>
      <c r="X23" s="30">
        <f>'Tranche 1 - Without Incentive'!T22</f>
        <v>4.462E-2</v>
      </c>
      <c r="Y23" s="34"/>
    </row>
    <row r="24" spans="1:25" s="9" customFormat="1" x14ac:dyDescent="0.3">
      <c r="A24"/>
      <c r="B24" s="8"/>
      <c r="C24" s="12"/>
      <c r="D24" s="12"/>
      <c r="E24" s="12"/>
      <c r="F24"/>
      <c r="H24"/>
      <c r="I24"/>
      <c r="J24"/>
      <c r="K24"/>
      <c r="L24"/>
      <c r="M24"/>
      <c r="N24"/>
      <c r="O24"/>
      <c r="P24"/>
      <c r="S24" s="27">
        <f t="shared" si="1"/>
        <v>18</v>
      </c>
      <c r="T24" s="32">
        <f>'Tranche 1 - Without Incentive'!P23</f>
        <v>0</v>
      </c>
      <c r="U24" s="33">
        <f>'Tranche 1 - Without Incentive'!Q23</f>
        <v>0</v>
      </c>
      <c r="V24" s="33">
        <f>'Tranche 1 - Without Incentive'!R23</f>
        <v>0</v>
      </c>
      <c r="W24" s="33">
        <f>'Tranche 1 - Without Incentive'!S23</f>
        <v>0</v>
      </c>
      <c r="X24" s="30">
        <f>'Tranche 1 - Without Incentive'!T23</f>
        <v>4.4609999999999997E-2</v>
      </c>
      <c r="Y24" s="34"/>
    </row>
    <row r="25" spans="1:25" s="9" customFormat="1" x14ac:dyDescent="0.3">
      <c r="A25"/>
      <c r="B25" s="8" t="s">
        <v>8</v>
      </c>
      <c r="C25" s="12">
        <v>0</v>
      </c>
      <c r="D25" s="12">
        <f>SUM($E$3:$E$4,$E$14)*(1/D23)</f>
        <v>3058.355227333333</v>
      </c>
      <c r="E25" s="12">
        <f>SUM($E$3:$E$4,$E$14)*(1/E23)</f>
        <v>3058.355227333333</v>
      </c>
      <c r="F25"/>
      <c r="H25"/>
      <c r="I25"/>
      <c r="J25"/>
      <c r="K25"/>
      <c r="L25"/>
      <c r="M25"/>
      <c r="N25"/>
      <c r="O25"/>
      <c r="P25"/>
      <c r="S25" s="27">
        <f t="shared" si="1"/>
        <v>19</v>
      </c>
      <c r="T25" s="32">
        <f>'Tranche 1 - Without Incentive'!P24</f>
        <v>0</v>
      </c>
      <c r="U25" s="33">
        <f>'Tranche 1 - Without Incentive'!Q24</f>
        <v>0</v>
      </c>
      <c r="V25" s="33">
        <f>'Tranche 1 - Without Incentive'!R24</f>
        <v>0</v>
      </c>
      <c r="W25" s="33">
        <f>'Tranche 1 - Without Incentive'!S24</f>
        <v>0</v>
      </c>
      <c r="X25" s="30">
        <f>'Tranche 1 - Without Incentive'!T24</f>
        <v>4.462E-2</v>
      </c>
      <c r="Y25" s="34"/>
    </row>
    <row r="26" spans="1:25" s="9" customFormat="1" x14ac:dyDescent="0.3">
      <c r="A26"/>
      <c r="B26" s="8" t="s">
        <v>9</v>
      </c>
      <c r="C26" s="12">
        <v>0</v>
      </c>
      <c r="D26" s="12">
        <f>SUM($C$25:D25)</f>
        <v>3058.355227333333</v>
      </c>
      <c r="E26" s="12">
        <f>SUM($C$25:E25)</f>
        <v>6116.710454666666</v>
      </c>
      <c r="F26"/>
      <c r="H26"/>
      <c r="I26"/>
      <c r="J26"/>
      <c r="K26"/>
      <c r="L26"/>
      <c r="M26"/>
      <c r="N26"/>
      <c r="O26"/>
      <c r="P26"/>
      <c r="S26" s="27">
        <f t="shared" si="1"/>
        <v>20</v>
      </c>
      <c r="T26" s="32">
        <f>'Tranche 1 - Without Incentive'!P25</f>
        <v>0</v>
      </c>
      <c r="U26" s="33">
        <f>'Tranche 1 - Without Incentive'!Q25</f>
        <v>0</v>
      </c>
      <c r="V26" s="33">
        <f>'Tranche 1 - Without Incentive'!R25</f>
        <v>0</v>
      </c>
      <c r="W26" s="33">
        <f>'Tranche 1 - Without Incentive'!S25</f>
        <v>0</v>
      </c>
      <c r="X26" s="30">
        <f>'Tranche 1 - Without Incentive'!T25</f>
        <v>4.4609999999999997E-2</v>
      </c>
      <c r="Y26" s="34"/>
    </row>
    <row r="27" spans="1:25" s="9" customFormat="1" x14ac:dyDescent="0.3">
      <c r="A27"/>
      <c r="B27" s="8" t="s">
        <v>10</v>
      </c>
      <c r="C27" s="12">
        <v>0</v>
      </c>
      <c r="D27" s="12">
        <f>IFERROR((SUM($E$3:$E$4,$E$14)*$M$3*$M$8)*VLOOKUP(D21,$S$6:$Y$27,D22)+(SUM($E$3:$E$4,$E$14)*$M$3*$L$8),0)</f>
        <v>41177.694780815997</v>
      </c>
      <c r="E27" s="12">
        <f>IFERROR((SUM($E$3:$E$4,$E$14)*$M$3*$M$8)*VLOOKUP(E21,$S$6:$Y$27,E22),0)</f>
        <v>14724.145406473601</v>
      </c>
      <c r="F27"/>
      <c r="G27" s="57"/>
      <c r="H27"/>
      <c r="I27"/>
      <c r="J27"/>
      <c r="K27"/>
      <c r="L27"/>
      <c r="M27"/>
      <c r="N27"/>
      <c r="O27"/>
      <c r="P27"/>
      <c r="S27" s="27">
        <f t="shared" si="1"/>
        <v>21</v>
      </c>
      <c r="T27" s="32">
        <f>'Tranche 1 - Without Incentive'!P26</f>
        <v>0</v>
      </c>
      <c r="U27" s="33">
        <f>'Tranche 1 - Without Incentive'!Q26</f>
        <v>0</v>
      </c>
      <c r="V27" s="33">
        <f>'Tranche 1 - Without Incentive'!R26</f>
        <v>0</v>
      </c>
      <c r="W27" s="33">
        <f>'Tranche 1 - Without Incentive'!S26</f>
        <v>0</v>
      </c>
      <c r="X27" s="30">
        <f>'Tranche 1 - Without Incentive'!T26</f>
        <v>2.231E-2</v>
      </c>
      <c r="Y27" s="34"/>
    </row>
    <row r="28" spans="1:25" s="9" customFormat="1" x14ac:dyDescent="0.3">
      <c r="A28"/>
      <c r="B28" s="8" t="s">
        <v>11</v>
      </c>
      <c r="C28" s="12">
        <v>0</v>
      </c>
      <c r="D28" s="12">
        <f>SUM($C$27:D27)</f>
        <v>41177.694780815997</v>
      </c>
      <c r="E28" s="12">
        <f>SUM($C$27:E27)</f>
        <v>55901.840187289599</v>
      </c>
      <c r="F28"/>
      <c r="H28"/>
      <c r="I28"/>
      <c r="J28"/>
      <c r="K28"/>
      <c r="L28"/>
      <c r="M28"/>
      <c r="N28"/>
      <c r="O28"/>
      <c r="P28"/>
      <c r="S28" s="27">
        <f t="shared" si="1"/>
        <v>22</v>
      </c>
      <c r="T28" s="32">
        <f>'Tranche 1 - Without Incentive'!P27</f>
        <v>0</v>
      </c>
      <c r="U28" s="33">
        <f>'Tranche 1 - Without Incentive'!Q27</f>
        <v>0</v>
      </c>
      <c r="V28" s="33">
        <f>'Tranche 1 - Without Incentive'!R27</f>
        <v>0</v>
      </c>
      <c r="W28" s="33">
        <f>'Tranche 1 - Without Incentive'!S27</f>
        <v>0</v>
      </c>
      <c r="X28" s="33">
        <f>'Tranche 1 - Without Incentive'!T27</f>
        <v>0</v>
      </c>
      <c r="Y28" s="34"/>
    </row>
    <row r="29" spans="1:25" s="9" customFormat="1" x14ac:dyDescent="0.3">
      <c r="A29"/>
      <c r="B29" s="8" t="s">
        <v>12</v>
      </c>
      <c r="C29" s="12">
        <v>0</v>
      </c>
      <c r="D29" s="12">
        <f>(D27-D25+(D25*$L$3))*$M$4</f>
        <v>9777.6176296853246</v>
      </c>
      <c r="E29" s="12">
        <f>(E27-E25+(E25*$L$3))*$M$4</f>
        <v>3072.965540758245</v>
      </c>
      <c r="F29"/>
      <c r="H29"/>
      <c r="I29"/>
      <c r="J29"/>
      <c r="K29"/>
      <c r="L29"/>
      <c r="M29"/>
      <c r="N29"/>
      <c r="O29"/>
      <c r="P29"/>
      <c r="S29" s="27">
        <f t="shared" si="1"/>
        <v>23</v>
      </c>
      <c r="T29" s="32">
        <f>'Tranche 1 - Without Incentive'!P28</f>
        <v>0</v>
      </c>
      <c r="U29" s="33">
        <f>'Tranche 1 - Without Incentive'!Q28</f>
        <v>0</v>
      </c>
      <c r="V29" s="33">
        <f>'Tranche 1 - Without Incentive'!R28</f>
        <v>0</v>
      </c>
      <c r="W29" s="33">
        <f>'Tranche 1 - Without Incentive'!S28</f>
        <v>0</v>
      </c>
      <c r="X29" s="33">
        <f>'Tranche 1 - Without Incentive'!T28</f>
        <v>0</v>
      </c>
      <c r="Y29" s="34"/>
    </row>
    <row r="30" spans="1:25" s="9" customFormat="1" x14ac:dyDescent="0.3">
      <c r="A30"/>
      <c r="B30" s="8" t="s">
        <v>13</v>
      </c>
      <c r="C30" s="12">
        <v>0</v>
      </c>
      <c r="D30" s="12">
        <f>SUM($C$29:D29)</f>
        <v>9777.6176296853246</v>
      </c>
      <c r="E30" s="12">
        <f>SUM($C$29:E29)</f>
        <v>12850.58317044357</v>
      </c>
      <c r="F30"/>
      <c r="H30"/>
      <c r="I30"/>
      <c r="J30"/>
      <c r="K30"/>
      <c r="L30"/>
      <c r="M30"/>
      <c r="N30"/>
      <c r="O30"/>
      <c r="P30"/>
      <c r="S30" s="20"/>
      <c r="T30" s="21"/>
      <c r="U30" s="21"/>
      <c r="V30" s="21"/>
      <c r="W30" s="21"/>
      <c r="X30" s="21"/>
      <c r="Y30" s="34"/>
    </row>
    <row r="31" spans="1:25" s="9" customFormat="1" x14ac:dyDescent="0.3">
      <c r="A31"/>
      <c r="B31" s="8" t="s">
        <v>14</v>
      </c>
      <c r="C31" s="12">
        <v>0</v>
      </c>
      <c r="D31" s="12">
        <f>SUM($E$3:$E$4,$E$14)*$Q$3*0.2</f>
        <v>222.03658950440001</v>
      </c>
      <c r="E31" s="12">
        <f>SUM($E$3:$E$4,$E$14)*$Q$3*0.2</f>
        <v>222.03658950440001</v>
      </c>
      <c r="F31"/>
      <c r="H31"/>
      <c r="I31"/>
      <c r="J31"/>
      <c r="K31"/>
      <c r="L31"/>
      <c r="M31"/>
      <c r="N31"/>
      <c r="O31"/>
      <c r="P31"/>
      <c r="S31" s="23" t="s">
        <v>31</v>
      </c>
      <c r="T31" s="35"/>
      <c r="U31" s="35">
        <f>SUM(U7:U29)</f>
        <v>0.99999999999999989</v>
      </c>
      <c r="V31" s="35">
        <f>SUM(V7:V29)</f>
        <v>1</v>
      </c>
      <c r="W31" s="35">
        <f>SUM(W7:W29)</f>
        <v>1.0000000000000002</v>
      </c>
      <c r="X31" s="35">
        <f>SUM(X7:X29)</f>
        <v>1.0000000000000002</v>
      </c>
      <c r="Y31" s="34"/>
    </row>
    <row r="32" spans="1:25" s="9" customFormat="1" x14ac:dyDescent="0.3">
      <c r="A32"/>
      <c r="B32" s="8" t="s">
        <v>15</v>
      </c>
      <c r="C32" s="12">
        <v>0</v>
      </c>
      <c r="D32" s="12">
        <f>(((SUM($E$3:$E$4)+$E$14-C26-C30)+(SUM($E$3:$E$4)+$E$14-D26-D30))/2)</f>
        <v>85332.670391490654</v>
      </c>
      <c r="E32" s="12">
        <f>(((SUM($E$3:$E$4)+$E$14-D26-D30)+(SUM($E$3:$E$4)+$E$14-E26-E30))/2)</f>
        <v>75849.023578935536</v>
      </c>
      <c r="F32"/>
      <c r="H32"/>
      <c r="I32"/>
      <c r="J32"/>
      <c r="K32"/>
      <c r="L32"/>
      <c r="M32"/>
      <c r="N32"/>
      <c r="O32"/>
      <c r="P32"/>
      <c r="S32" s="20"/>
      <c r="T32" s="21"/>
      <c r="U32" s="21"/>
      <c r="V32" s="21"/>
      <c r="W32" s="21"/>
      <c r="X32" s="21"/>
      <c r="Y32" s="34"/>
    </row>
    <row r="33" spans="1:25" s="9" customFormat="1" ht="15" thickBot="1" x14ac:dyDescent="0.35">
      <c r="A33"/>
      <c r="B33" s="8" t="s">
        <v>16</v>
      </c>
      <c r="C33" s="12">
        <v>0</v>
      </c>
      <c r="D33" s="12">
        <f>D32*$P$6*$Q$6</f>
        <v>4723.1633061690072</v>
      </c>
      <c r="E33" s="12">
        <f>E32*$P$6*$Q$6</f>
        <v>4198.2434550940816</v>
      </c>
      <c r="F33"/>
      <c r="H33"/>
      <c r="I33"/>
      <c r="J33"/>
      <c r="K33"/>
      <c r="L33"/>
      <c r="M33"/>
      <c r="N33"/>
      <c r="O33"/>
      <c r="P33"/>
      <c r="S33" s="55" t="s">
        <v>50</v>
      </c>
      <c r="T33" s="36"/>
      <c r="U33" s="36"/>
      <c r="V33" s="36"/>
      <c r="W33" s="36"/>
      <c r="X33" s="36"/>
      <c r="Y33" s="37"/>
    </row>
    <row r="34" spans="1:25" s="9" customFormat="1" x14ac:dyDescent="0.3">
      <c r="A34"/>
      <c r="B34" s="8" t="s">
        <v>17</v>
      </c>
      <c r="C34" s="12">
        <v>0</v>
      </c>
      <c r="D34" s="12">
        <f>D32*$P$7*$Q$7</f>
        <v>0</v>
      </c>
      <c r="E34" s="12">
        <f>E32*$P$7*$Q$7</f>
        <v>0</v>
      </c>
      <c r="F34"/>
      <c r="H34"/>
      <c r="I34"/>
      <c r="J34"/>
      <c r="K34"/>
      <c r="L34"/>
      <c r="M34"/>
      <c r="N34"/>
      <c r="O34"/>
      <c r="P34"/>
    </row>
    <row r="35" spans="1:25" s="9" customFormat="1" x14ac:dyDescent="0.3">
      <c r="A35"/>
      <c r="B35" s="8" t="s">
        <v>18</v>
      </c>
      <c r="C35" s="12">
        <v>0</v>
      </c>
      <c r="D35" s="12">
        <f>D32*$P$8*$Q$8</f>
        <v>1766.3862771038566</v>
      </c>
      <c r="E35" s="12">
        <f>E32*$P$8*$Q$8</f>
        <v>1570.0747880839656</v>
      </c>
      <c r="F35"/>
      <c r="H35"/>
      <c r="I35"/>
      <c r="J35"/>
      <c r="K35"/>
      <c r="L35"/>
      <c r="M35"/>
      <c r="N35"/>
      <c r="O35"/>
      <c r="P35"/>
    </row>
    <row r="36" spans="1:25" s="9" customFormat="1" x14ac:dyDescent="0.3">
      <c r="A36"/>
      <c r="B36" s="8" t="s">
        <v>19</v>
      </c>
      <c r="C36" s="12">
        <v>0</v>
      </c>
      <c r="D36" s="12">
        <f>((D33+D34)*$M$4)/(1-$M$4)-(D25*$L$2)/(1-$M$4)+(D25*$L$3*$M$4)/(1-$M$4)</f>
        <v>530.23935651152601</v>
      </c>
      <c r="E36" s="12">
        <f>((E33+E34)*$M$4)/(1-$M$4)-(E25*$L$2)/(1-$M$4)+(E25*$L$3*$M$4)/(1-$M$4)</f>
        <v>352.03168622160592</v>
      </c>
      <c r="F36"/>
      <c r="H36"/>
      <c r="I36"/>
      <c r="J36"/>
      <c r="K36"/>
      <c r="L36"/>
      <c r="M36"/>
      <c r="N36"/>
      <c r="O36"/>
      <c r="P36"/>
    </row>
    <row r="37" spans="1:25" s="9" customFormat="1" x14ac:dyDescent="0.3">
      <c r="A37"/>
      <c r="B37" s="8" t="s">
        <v>20</v>
      </c>
      <c r="C37" s="12">
        <v>0</v>
      </c>
      <c r="D37" s="44">
        <f>D25+D31+D33+D34+D35+D36</f>
        <v>10300.180756622123</v>
      </c>
      <c r="E37" s="12">
        <f>E25+E31+E33+E34+E35+E36</f>
        <v>9400.7417462373869</v>
      </c>
      <c r="F37"/>
      <c r="H37"/>
      <c r="I37"/>
      <c r="J37"/>
      <c r="K37"/>
      <c r="L37"/>
      <c r="M37"/>
      <c r="N37"/>
      <c r="O37"/>
      <c r="P37"/>
    </row>
    <row r="38" spans="1:25" s="9" customFormat="1" x14ac:dyDescent="0.3">
      <c r="A38"/>
      <c r="B38" s="8"/>
      <c r="C38" s="12"/>
      <c r="D38" s="12"/>
      <c r="E38" s="12"/>
      <c r="F38"/>
      <c r="G38"/>
      <c r="H38"/>
      <c r="I38"/>
      <c r="J38"/>
      <c r="K38"/>
      <c r="L38"/>
      <c r="M38"/>
      <c r="N38"/>
      <c r="O38"/>
    </row>
    <row r="39" spans="1:25" s="9" customFormat="1" x14ac:dyDescent="0.3">
      <c r="A39"/>
      <c r="B39" s="8" t="s">
        <v>36</v>
      </c>
      <c r="C39" s="12">
        <v>0</v>
      </c>
      <c r="D39" s="44">
        <f>(7*$I$3)*(1+0.023)^(D20-$C$20)</f>
        <v>532.83568799999989</v>
      </c>
      <c r="E39" s="12">
        <f>(7*$I$3)*(1+0.023)^(E20-$C$20)</f>
        <v>545.09090882399994</v>
      </c>
      <c r="F39"/>
      <c r="G39"/>
      <c r="H39"/>
      <c r="I39"/>
      <c r="J39"/>
      <c r="K39"/>
      <c r="L39"/>
      <c r="M39"/>
      <c r="N39"/>
      <c r="O39"/>
    </row>
    <row r="40" spans="1:25" s="9" customFormat="1" x14ac:dyDescent="0.3">
      <c r="A40"/>
      <c r="B40" s="8"/>
      <c r="C40" s="12"/>
      <c r="D40" s="12"/>
      <c r="E40" s="12"/>
      <c r="F40"/>
      <c r="G40"/>
      <c r="H40"/>
      <c r="I40"/>
      <c r="J40"/>
      <c r="K40"/>
      <c r="L40"/>
      <c r="M40"/>
      <c r="N40"/>
      <c r="O40"/>
    </row>
    <row r="41" spans="1:25" s="9" customFormat="1" x14ac:dyDescent="0.3">
      <c r="A41"/>
      <c r="B41" s="8" t="s">
        <v>18</v>
      </c>
      <c r="C41" s="12">
        <v>0</v>
      </c>
      <c r="D41" s="12">
        <f>$D$7*$P$8*$Q$8</f>
        <v>387.51039050400004</v>
      </c>
      <c r="E41" s="12">
        <f>$D$7*$P$8*$Q$8</f>
        <v>387.51039050400004</v>
      </c>
      <c r="F41"/>
      <c r="G41"/>
      <c r="H41"/>
      <c r="I41"/>
      <c r="J41"/>
      <c r="K41"/>
      <c r="L41"/>
      <c r="M41"/>
      <c r="N41"/>
      <c r="O41"/>
    </row>
    <row r="42" spans="1:25" s="9" customFormat="1" x14ac:dyDescent="0.3">
      <c r="A42"/>
      <c r="B42" s="8" t="s">
        <v>16</v>
      </c>
      <c r="C42" s="12">
        <v>0</v>
      </c>
      <c r="D42" s="12">
        <f>$D$7*$P$6*$Q$6/(1-$M$4)</f>
        <v>1387.9433228209766</v>
      </c>
      <c r="E42" s="12">
        <f>$D$7*$P$6*$Q$6/(1-$M$4)</f>
        <v>1387.9433228209766</v>
      </c>
      <c r="F42"/>
      <c r="G42"/>
      <c r="H42"/>
      <c r="I42"/>
      <c r="J42"/>
      <c r="K42"/>
      <c r="L42"/>
      <c r="M42"/>
      <c r="N42"/>
      <c r="O42"/>
    </row>
    <row r="43" spans="1:25" s="9" customFormat="1" x14ac:dyDescent="0.3">
      <c r="A43"/>
      <c r="B43" s="8" t="s">
        <v>14</v>
      </c>
      <c r="C43" s="12">
        <v>0</v>
      </c>
      <c r="D43" s="12">
        <f>$D$7*$Q$2</f>
        <v>336.96555696000001</v>
      </c>
      <c r="E43" s="12">
        <f>$D$7*$Q$2</f>
        <v>336.96555696000001</v>
      </c>
      <c r="F43"/>
      <c r="G43"/>
      <c r="H43"/>
      <c r="I43"/>
      <c r="J43"/>
      <c r="K43"/>
      <c r="L43"/>
      <c r="M43"/>
      <c r="N43"/>
      <c r="O43"/>
    </row>
    <row r="44" spans="1:25" s="9" customFormat="1" x14ac:dyDescent="0.3">
      <c r="A44"/>
      <c r="B44" s="8" t="s">
        <v>38</v>
      </c>
      <c r="C44" s="12">
        <v>0</v>
      </c>
      <c r="D44" s="44">
        <f>SUM(D41:D43)</f>
        <v>2112.4192702849768</v>
      </c>
      <c r="E44" s="12">
        <f t="shared" ref="E44" si="3">SUM(E41:E43)</f>
        <v>2112.4192702849768</v>
      </c>
      <c r="F44"/>
      <c r="G44"/>
      <c r="H44"/>
      <c r="I44"/>
      <c r="J44"/>
      <c r="K44"/>
      <c r="L44"/>
      <c r="M44"/>
      <c r="N44"/>
      <c r="O44"/>
    </row>
    <row r="45" spans="1:25" s="9" customFormat="1" x14ac:dyDescent="0.3">
      <c r="A45"/>
      <c r="B45" s="8"/>
      <c r="C45" s="12"/>
      <c r="D45" s="12"/>
      <c r="E45" s="12"/>
      <c r="F45"/>
      <c r="G45"/>
      <c r="H45"/>
      <c r="I45"/>
      <c r="J45"/>
      <c r="K45"/>
      <c r="L45"/>
      <c r="M45"/>
      <c r="N45"/>
      <c r="O45"/>
      <c r="S45"/>
      <c r="T45"/>
      <c r="U45"/>
      <c r="V45"/>
      <c r="W45"/>
      <c r="X45"/>
      <c r="Y45"/>
    </row>
    <row r="46" spans="1:25" s="9" customFormat="1" x14ac:dyDescent="0.3">
      <c r="A46"/>
      <c r="B46" s="10" t="s">
        <v>1</v>
      </c>
      <c r="C46" s="15">
        <f>C20</f>
        <v>2017</v>
      </c>
      <c r="D46" s="15">
        <f>D20</f>
        <v>2018</v>
      </c>
      <c r="E46" s="15">
        <f>E20</f>
        <v>2019</v>
      </c>
      <c r="F46"/>
      <c r="G46"/>
      <c r="H46"/>
      <c r="I46"/>
      <c r="J46"/>
      <c r="K46"/>
      <c r="L46"/>
      <c r="M46"/>
      <c r="N46"/>
      <c r="O46"/>
      <c r="S46"/>
      <c r="T46"/>
      <c r="U46"/>
      <c r="V46"/>
      <c r="W46"/>
      <c r="X46"/>
      <c r="Y46"/>
    </row>
    <row r="47" spans="1:25" s="9" customFormat="1" x14ac:dyDescent="0.3">
      <c r="A47"/>
      <c r="B47" s="8" t="str">
        <f>'Tranche 1 - Without Incentive'!B23</f>
        <v>Tax Year</v>
      </c>
      <c r="C47" s="14">
        <f>'Tranche 1 - Without Incentive'!C23</f>
        <v>0</v>
      </c>
      <c r="D47" s="12">
        <f>'Tranche 1 - Without Incentive'!D23</f>
        <v>1</v>
      </c>
      <c r="E47" s="12">
        <f>'Tranche 1 - Without Incentive'!E23</f>
        <v>2</v>
      </c>
      <c r="F47"/>
      <c r="G47"/>
      <c r="H47"/>
      <c r="I47"/>
      <c r="J47"/>
      <c r="K47"/>
      <c r="L47"/>
      <c r="M47"/>
      <c r="N47"/>
      <c r="O47"/>
      <c r="S47"/>
      <c r="T47"/>
      <c r="U47"/>
      <c r="V47"/>
      <c r="W47"/>
      <c r="X47"/>
      <c r="Y47"/>
    </row>
    <row r="48" spans="1:25" s="9" customFormat="1" x14ac:dyDescent="0.3">
      <c r="A48"/>
      <c r="B48" s="8" t="str">
        <f>'Tranche 1 - Without Incentive'!B24</f>
        <v>Tax Column</v>
      </c>
      <c r="C48" s="12">
        <f>'Tranche 1 - Without Incentive'!C24</f>
        <v>0</v>
      </c>
      <c r="D48" s="12">
        <f>'Tranche 1 - Without Incentive'!D24</f>
        <v>3</v>
      </c>
      <c r="E48" s="12">
        <f>'Tranche 1 - Without Incentive'!E24</f>
        <v>3</v>
      </c>
      <c r="F48"/>
      <c r="G48"/>
      <c r="H48"/>
      <c r="I48"/>
      <c r="J48"/>
      <c r="K48"/>
      <c r="L48"/>
      <c r="M48"/>
      <c r="N48"/>
      <c r="O48"/>
      <c r="S48"/>
      <c r="T48"/>
      <c r="U48"/>
      <c r="V48"/>
      <c r="W48"/>
      <c r="X48"/>
      <c r="Y48"/>
    </row>
    <row r="49" spans="2:5" x14ac:dyDescent="0.3">
      <c r="B49" s="8" t="str">
        <f>'Tranche 1 - Without Incentive'!B25</f>
        <v>Book Life</v>
      </c>
      <c r="C49" s="12">
        <f>'Tranche 1 - Without Incentive'!C25</f>
        <v>0</v>
      </c>
      <c r="D49" s="12">
        <f>'Tranche 1 - Without Incentive'!D25</f>
        <v>30</v>
      </c>
      <c r="E49" s="12">
        <f>'Tranche 1 - Without Incentive'!E25</f>
        <v>30</v>
      </c>
    </row>
    <row r="50" spans="2:5" x14ac:dyDescent="0.3">
      <c r="B50" s="8"/>
      <c r="C50" s="12"/>
      <c r="D50" s="12"/>
    </row>
    <row r="51" spans="2:5" x14ac:dyDescent="0.3">
      <c r="B51" s="8" t="s">
        <v>8</v>
      </c>
      <c r="C51" s="12">
        <v>0</v>
      </c>
      <c r="D51" s="12">
        <f>(SUM($E$5:$E$6,$E$15)*(1/D49))</f>
        <v>3158.4885789999998</v>
      </c>
      <c r="E51" s="12">
        <f>(SUM($E$5:$E$6,$E$15)*(1/E49))</f>
        <v>3158.4885789999998</v>
      </c>
    </row>
    <row r="52" spans="2:5" x14ac:dyDescent="0.3">
      <c r="B52" s="8" t="s">
        <v>9</v>
      </c>
      <c r="C52" s="12">
        <v>0</v>
      </c>
      <c r="D52" s="12">
        <f>SUM($C$51:D51)</f>
        <v>3158.4885789999998</v>
      </c>
      <c r="E52" s="12">
        <f>SUM($C$51:E51)</f>
        <v>6316.9771579999997</v>
      </c>
    </row>
    <row r="53" spans="2:5" x14ac:dyDescent="0.3">
      <c r="B53" s="8" t="s">
        <v>10</v>
      </c>
      <c r="C53" s="12">
        <v>0</v>
      </c>
      <c r="D53" s="12">
        <f>IFERROR((SUM($E$5:$E$6,$E$15)*$M$3*$M$9)*VLOOKUP(D47,$S$7:$Y$29,D48)+(SUM($E$5:$E$6,$E$15)*$M$3*$L$9),0)</f>
        <v>42525.890227656004</v>
      </c>
      <c r="E53" s="12">
        <f>IFERROR((SUM($E$5:$E$6,$E$15)*$M$3*$M$9)*VLOOKUP(E47,$S$7:$Y$29,E48),0)</f>
        <v>15206.227414737603</v>
      </c>
    </row>
    <row r="54" spans="2:5" x14ac:dyDescent="0.3">
      <c r="B54" s="8" t="s">
        <v>11</v>
      </c>
      <c r="C54" s="12">
        <v>0</v>
      </c>
      <c r="D54" s="12">
        <f>SUM($C$53:D53)</f>
        <v>42525.890227656004</v>
      </c>
      <c r="E54" s="12">
        <f>SUM($C$53:E53)</f>
        <v>57732.117642393605</v>
      </c>
    </row>
    <row r="55" spans="2:5" x14ac:dyDescent="0.3">
      <c r="B55" s="8" t="s">
        <v>12</v>
      </c>
      <c r="C55" s="12">
        <v>0</v>
      </c>
      <c r="D55" s="12">
        <f>(D53-D51+(D51*$L$3))*$M$4</f>
        <v>10097.745787403996</v>
      </c>
      <c r="E55" s="12">
        <f>(E53-E51+(E51*$L$3))*$M$4</f>
        <v>3173.5772474698279</v>
      </c>
    </row>
    <row r="56" spans="2:5" x14ac:dyDescent="0.3">
      <c r="B56" s="8" t="s">
        <v>13</v>
      </c>
      <c r="C56" s="12">
        <v>0</v>
      </c>
      <c r="D56" s="12">
        <f>SUM($C$55:D55)</f>
        <v>10097.745787403996</v>
      </c>
      <c r="E56" s="12">
        <f>SUM($C$55:E55)</f>
        <v>13271.323034873823</v>
      </c>
    </row>
    <row r="57" spans="2:5" x14ac:dyDescent="0.3">
      <c r="B57" s="8" t="s">
        <v>14</v>
      </c>
      <c r="C57" s="12">
        <v>0</v>
      </c>
      <c r="D57" s="12">
        <f>SUM($E$5:$E$6,$E$15)*$Q$3*0.2</f>
        <v>229.3062708354</v>
      </c>
      <c r="E57" s="12">
        <f>SUM($E$5:$E$6,$E$15)*$Q$3*0.2</f>
        <v>229.3062708354</v>
      </c>
    </row>
    <row r="58" spans="2:5" x14ac:dyDescent="0.3">
      <c r="B58" s="8" t="s">
        <v>15</v>
      </c>
      <c r="C58" s="12">
        <v>0</v>
      </c>
      <c r="D58" s="12">
        <f>((SUM($E$5:$E$6,$E$15-C52-C56)+(SUM($E$5:$E$6,$E$15)-D52-D56))/2)</f>
        <v>88126.540186797996</v>
      </c>
      <c r="E58" s="12">
        <f>((SUM($E$5:$E$6,$E$15-D52-D56)+(SUM($E$5:$E$6,$E$15)-E52-E56))/2)</f>
        <v>78332.390090361092</v>
      </c>
    </row>
    <row r="59" spans="2:5" x14ac:dyDescent="0.3">
      <c r="B59" s="8" t="s">
        <v>16</v>
      </c>
      <c r="C59" s="12">
        <v>0</v>
      </c>
      <c r="D59" s="12">
        <f>D58*$P$6*$Q$6</f>
        <v>4877.8039993392695</v>
      </c>
      <c r="E59" s="12">
        <f>E58*$P$6*$Q$6</f>
        <v>4335.6977915014868</v>
      </c>
    </row>
    <row r="60" spans="2:5" x14ac:dyDescent="0.3">
      <c r="B60" s="8" t="s">
        <v>17</v>
      </c>
      <c r="C60" s="12">
        <v>0</v>
      </c>
      <c r="D60" s="12">
        <f>D58*$P$7*$Q$7</f>
        <v>0</v>
      </c>
      <c r="E60" s="12">
        <f>E58*$P$7*$Q$7</f>
        <v>0</v>
      </c>
    </row>
    <row r="61" spans="2:5" x14ac:dyDescent="0.3">
      <c r="B61" s="8" t="s">
        <v>18</v>
      </c>
      <c r="C61" s="12">
        <v>0</v>
      </c>
      <c r="D61" s="12">
        <f>D58*$P$8*$Q$8</f>
        <v>1824.2193818667185</v>
      </c>
      <c r="E61" s="12">
        <f>E58*$P$8*$Q$8</f>
        <v>1621.4804748704746</v>
      </c>
    </row>
    <row r="62" spans="2:5" x14ac:dyDescent="0.3">
      <c r="B62" s="8" t="s">
        <v>19</v>
      </c>
      <c r="C62" s="12">
        <v>0</v>
      </c>
      <c r="D62" s="12">
        <f>((D59+D60)*$M$4)/(1-$M$4)-(D51*$L$2)/(1-$M$4)+(D51*$L$3*$M$4)/(1-$M$4)</f>
        <v>547.59987875516731</v>
      </c>
      <c r="E62" s="12">
        <f>((E59+E60)*$M$4)/(1-$M$4)-(E51*$L$2)/(1-$M$4)+(E51*$L$3*$M$4)/(1-$M$4)</f>
        <v>363.55752609762794</v>
      </c>
    </row>
    <row r="63" spans="2:5" x14ac:dyDescent="0.3">
      <c r="B63" s="8" t="s">
        <v>20</v>
      </c>
      <c r="C63" s="12">
        <v>0</v>
      </c>
      <c r="D63" s="44">
        <f>D51+D57+D59+D60+D61+D62</f>
        <v>10637.418109796554</v>
      </c>
      <c r="E63" s="12">
        <f>E51+E57+E59+E60+E61+E62</f>
        <v>9708.5306423049897</v>
      </c>
    </row>
    <row r="65" spans="2:12" x14ac:dyDescent="0.3">
      <c r="B65" s="8" t="s">
        <v>36</v>
      </c>
      <c r="C65" s="12">
        <v>0</v>
      </c>
      <c r="D65" s="44">
        <f>(7*$I$4)*(1+0.023)^(D46-$C$46)</f>
        <v>503.33236799999992</v>
      </c>
      <c r="E65" s="12">
        <f>(7*$I$4)*(1+0.023)^(E46-$C$46)</f>
        <v>514.90901246399983</v>
      </c>
    </row>
    <row r="67" spans="2:12" x14ac:dyDescent="0.3">
      <c r="B67" s="8" t="s">
        <v>18</v>
      </c>
      <c r="C67" s="12">
        <v>0</v>
      </c>
      <c r="D67" s="12">
        <f>$D$8*$P$8*$Q$8</f>
        <v>29.157430463999997</v>
      </c>
      <c r="E67" s="12">
        <f>$D$8*$P$8*$Q$8</f>
        <v>29.157430463999997</v>
      </c>
    </row>
    <row r="68" spans="2:12" x14ac:dyDescent="0.3">
      <c r="B68" s="8" t="s">
        <v>16</v>
      </c>
      <c r="C68" s="12">
        <v>0</v>
      </c>
      <c r="D68" s="12">
        <f>$D$8*$P$6*$Q$6/(1-$M$4)</f>
        <v>104.43296983725135</v>
      </c>
      <c r="E68" s="12">
        <f>$D$8*$P$6*$Q$6/(1-$M$4)</f>
        <v>104.43296983725135</v>
      </c>
    </row>
    <row r="69" spans="2:12" x14ac:dyDescent="0.3">
      <c r="B69" s="8" t="s">
        <v>14</v>
      </c>
      <c r="C69" s="12">
        <v>0</v>
      </c>
      <c r="D69" s="12">
        <f>$D$8*$Q$2</f>
        <v>25.354287359999997</v>
      </c>
      <c r="E69" s="12">
        <f>$D$8*$Q$2</f>
        <v>25.354287359999997</v>
      </c>
    </row>
    <row r="70" spans="2:12" x14ac:dyDescent="0.3">
      <c r="B70" s="8" t="s">
        <v>38</v>
      </c>
      <c r="C70" s="12">
        <v>0</v>
      </c>
      <c r="D70" s="44">
        <f>SUM(D67:D69)</f>
        <v>158.94468766125135</v>
      </c>
      <c r="E70" s="12">
        <f t="shared" ref="E70" si="4">SUM(E67:E69)</f>
        <v>158.94468766125135</v>
      </c>
    </row>
    <row r="72" spans="2:12" x14ac:dyDescent="0.3">
      <c r="B72" s="42" t="s">
        <v>42</v>
      </c>
      <c r="C72" s="12">
        <v>0</v>
      </c>
      <c r="D72" s="3">
        <f>D37+D39+D44+D63+D65+D70</f>
        <v>24245.130880364908</v>
      </c>
    </row>
    <row r="76" spans="2:12" x14ac:dyDescent="0.3">
      <c r="L76" s="12"/>
    </row>
    <row r="77" spans="2:12" x14ac:dyDescent="0.3">
      <c r="L77" s="12"/>
    </row>
    <row r="78" spans="2:12" x14ac:dyDescent="0.3">
      <c r="L78" s="12"/>
    </row>
  </sheetData>
  <mergeCells count="1">
    <mergeCell ref="L6:L7"/>
  </mergeCells>
  <printOptions horizontalCentered="1"/>
  <pageMargins left="0" right="0" top="0" bottom="0" header="0.3" footer="0.3"/>
  <pageSetup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Tranche 1 - Without Incentive</vt:lpstr>
      <vt:lpstr>Tranche 1 - With Incentive</vt:lpstr>
      <vt:lpstr>'Tranche 1 - With Incentive'!Print_Area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Chilson, Julie D.</dc:creator>
  <cp:lastModifiedBy>Rusk, Penelope A.</cp:lastModifiedBy>
  <cp:lastPrinted>2018-02-23T16:06:50Z</cp:lastPrinted>
  <dcterms:created xsi:type="dcterms:W3CDTF">2018-01-23T16:18:08Z</dcterms:created>
  <dcterms:modified xsi:type="dcterms:W3CDTF">2018-03-06T20:08:40Z</dcterms:modified>
</cp:coreProperties>
</file>