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Gas Summary Total Gas" sheetId="3" r:id="rId1"/>
    <sheet name="Summary by Division" sheetId="12" r:id="rId2"/>
    <sheet name="Gas Reg Tax Liab" sheetId="2" r:id="rId3"/>
    <sheet name="Gas Current Savings" sheetId="6" r:id="rId4"/>
    <sheet name="FN Tax Computation" sheetId="8" r:id="rId5"/>
    <sheet name="CF Tax Computation" sheetId="9" r:id="rId6"/>
    <sheet name="FI Tax Computation" sheetId="10" r:id="rId7"/>
    <sheet name="FT Tax Computation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2" l="1"/>
  <c r="N9" i="12"/>
  <c r="N8" i="12"/>
  <c r="N7" i="12"/>
  <c r="M10" i="12"/>
  <c r="M9" i="12"/>
  <c r="M11" i="12" s="1"/>
  <c r="M8" i="12"/>
  <c r="M7" i="12"/>
  <c r="J10" i="12"/>
  <c r="J11" i="12" s="1"/>
  <c r="J9" i="12"/>
  <c r="J8" i="12"/>
  <c r="J7" i="12"/>
  <c r="G10" i="12"/>
  <c r="G9" i="12"/>
  <c r="G11" i="12" s="1"/>
  <c r="G8" i="12"/>
  <c r="G7" i="12"/>
  <c r="F11" i="12"/>
  <c r="C11" i="12"/>
  <c r="D11" i="12"/>
  <c r="E11" i="12"/>
  <c r="H11" i="12"/>
  <c r="I11" i="12"/>
  <c r="K11" i="12"/>
  <c r="L11" i="12"/>
  <c r="D10" i="12"/>
  <c r="D9" i="12"/>
  <c r="D8" i="12"/>
  <c r="D7" i="12"/>
  <c r="N16" i="12"/>
  <c r="N17" i="12"/>
  <c r="N15" i="12"/>
  <c r="M16" i="12"/>
  <c r="M15" i="12"/>
  <c r="L17" i="12"/>
  <c r="M17" i="12" s="1"/>
  <c r="L15" i="12"/>
  <c r="J16" i="12"/>
  <c r="J15" i="12"/>
  <c r="I15" i="12"/>
  <c r="I17" i="12"/>
  <c r="I18" i="12" s="1"/>
  <c r="G16" i="12"/>
  <c r="G17" i="12"/>
  <c r="F17" i="12"/>
  <c r="F15" i="12"/>
  <c r="G15" i="12" s="1"/>
  <c r="H18" i="12"/>
  <c r="K18" i="12"/>
  <c r="D16" i="12"/>
  <c r="D15" i="12"/>
  <c r="C17" i="12"/>
  <c r="D17" i="12" s="1"/>
  <c r="C15" i="12"/>
  <c r="C18" i="12" l="1"/>
  <c r="J17" i="12"/>
  <c r="J18" i="12" s="1"/>
  <c r="M18" i="12"/>
  <c r="L18" i="12"/>
  <c r="G18" i="12"/>
  <c r="F18" i="12"/>
  <c r="D18" i="12"/>
  <c r="E18" i="12" l="1"/>
  <c r="B18" i="12"/>
  <c r="O17" i="12"/>
  <c r="K9" i="12"/>
  <c r="H9" i="12"/>
  <c r="H10" i="12" s="1"/>
  <c r="E9" i="12"/>
  <c r="E10" i="12" s="1"/>
  <c r="B9" i="12"/>
  <c r="N18" i="12" l="1"/>
  <c r="K10" i="12"/>
  <c r="B10" i="12"/>
  <c r="B11" i="12" s="1"/>
  <c r="O15" i="12"/>
  <c r="O18" i="12" s="1"/>
  <c r="H15" i="3"/>
  <c r="H17" i="3"/>
  <c r="G16" i="3"/>
  <c r="G17" i="3"/>
  <c r="G15" i="3"/>
  <c r="J23" i="2"/>
  <c r="K23" i="2" s="1"/>
  <c r="N11" i="12" l="1"/>
  <c r="H13" i="8"/>
  <c r="H14" i="8"/>
  <c r="H15" i="8"/>
  <c r="H16" i="8"/>
  <c r="H17" i="8"/>
  <c r="H12" i="8"/>
  <c r="G13" i="8"/>
  <c r="G14" i="8"/>
  <c r="G15" i="8"/>
  <c r="G16" i="8"/>
  <c r="G17" i="8"/>
  <c r="G12" i="8"/>
  <c r="G10" i="8"/>
  <c r="O11" i="12" l="1"/>
  <c r="E14" i="11"/>
  <c r="E13" i="11"/>
  <c r="E12" i="11"/>
  <c r="D14" i="11"/>
  <c r="D13" i="11"/>
  <c r="D12" i="11"/>
  <c r="D10" i="11"/>
  <c r="H13" i="10" l="1"/>
  <c r="H14" i="10"/>
  <c r="H12" i="10"/>
  <c r="G12" i="10"/>
  <c r="G10" i="10"/>
  <c r="H13" i="9" l="1"/>
  <c r="H14" i="9"/>
  <c r="H12" i="9"/>
  <c r="G13" i="9"/>
  <c r="G14" i="9"/>
  <c r="G12" i="9"/>
  <c r="G10" i="9"/>
  <c r="G20" i="11" l="1"/>
  <c r="G20" i="10"/>
  <c r="G18" i="9" l="1"/>
  <c r="G21" i="8" l="1"/>
  <c r="G36" i="11" l="1"/>
  <c r="D36" i="11"/>
  <c r="G32" i="11"/>
  <c r="G17" i="11"/>
  <c r="G33" i="11" s="1"/>
  <c r="D17" i="11"/>
  <c r="D33" i="11" s="1"/>
  <c r="D34" i="11" s="1"/>
  <c r="D38" i="11" s="1"/>
  <c r="G36" i="10"/>
  <c r="D36" i="10"/>
  <c r="G32" i="10"/>
  <c r="G17" i="10"/>
  <c r="G33" i="10" s="1"/>
  <c r="D17" i="10"/>
  <c r="D33" i="10" s="1"/>
  <c r="D34" i="10" s="1"/>
  <c r="G34" i="9"/>
  <c r="D34" i="9"/>
  <c r="G30" i="9"/>
  <c r="G15" i="9"/>
  <c r="G20" i="9" s="1"/>
  <c r="G23" i="9" s="1"/>
  <c r="G41" i="9" s="1"/>
  <c r="D15" i="9"/>
  <c r="D20" i="9" s="1"/>
  <c r="D23" i="9" s="1"/>
  <c r="D41" i="9" s="1"/>
  <c r="D42" i="9" s="1"/>
  <c r="G37" i="8"/>
  <c r="D37" i="8"/>
  <c r="G33" i="8"/>
  <c r="G18" i="8"/>
  <c r="G34" i="8" s="1"/>
  <c r="D18" i="8"/>
  <c r="D23" i="8" s="1"/>
  <c r="D26" i="8" s="1"/>
  <c r="D44" i="8" s="1"/>
  <c r="D45" i="8" s="1"/>
  <c r="G35" i="8" l="1"/>
  <c r="G39" i="8" s="1"/>
  <c r="G23" i="8"/>
  <c r="G26" i="8" s="1"/>
  <c r="G44" i="8" s="1"/>
  <c r="G45" i="8" s="1"/>
  <c r="D22" i="11"/>
  <c r="D25" i="11" s="1"/>
  <c r="D43" i="11" s="1"/>
  <c r="D44" i="11" s="1"/>
  <c r="D45" i="11" s="1"/>
  <c r="D38" i="10"/>
  <c r="D22" i="10"/>
  <c r="D25" i="10" s="1"/>
  <c r="D43" i="10" s="1"/>
  <c r="D44" i="10" s="1"/>
  <c r="G31" i="9"/>
  <c r="G32" i="9" s="1"/>
  <c r="G36" i="9" s="1"/>
  <c r="G42" i="9"/>
  <c r="D31" i="9"/>
  <c r="D32" i="9" s="1"/>
  <c r="D36" i="9" s="1"/>
  <c r="D43" i="9" s="1"/>
  <c r="D44" i="9" s="1"/>
  <c r="D34" i="8"/>
  <c r="D35" i="8" s="1"/>
  <c r="D39" i="8" s="1"/>
  <c r="D46" i="8" s="1"/>
  <c r="D47" i="8" s="1"/>
  <c r="D49" i="8" s="1"/>
  <c r="G34" i="11"/>
  <c r="G38" i="11" s="1"/>
  <c r="G22" i="11"/>
  <c r="G25" i="11" s="1"/>
  <c r="G43" i="11" s="1"/>
  <c r="G44" i="11" s="1"/>
  <c r="G34" i="10"/>
  <c r="G38" i="10" s="1"/>
  <c r="G22" i="10"/>
  <c r="G25" i="10" s="1"/>
  <c r="G43" i="10" s="1"/>
  <c r="G44" i="10" s="1"/>
  <c r="G46" i="8" l="1"/>
  <c r="G47" i="8" s="1"/>
  <c r="G49" i="8" s="1"/>
  <c r="D46" i="11"/>
  <c r="D45" i="10"/>
  <c r="D46" i="10" s="1"/>
  <c r="G43" i="9"/>
  <c r="G44" i="9" s="1"/>
  <c r="G45" i="11"/>
  <c r="G46" i="11" s="1"/>
  <c r="G45" i="10"/>
  <c r="G46" i="10" s="1"/>
  <c r="T23" i="6" l="1"/>
  <c r="V23" i="6" s="1"/>
  <c r="T22" i="6"/>
  <c r="V22" i="6" s="1"/>
  <c r="T19" i="6"/>
  <c r="V19" i="6" s="1"/>
  <c r="T18" i="6"/>
  <c r="V18" i="6" s="1"/>
  <c r="T15" i="6"/>
  <c r="V15" i="6" s="1"/>
  <c r="T14" i="6"/>
  <c r="V14" i="6" s="1"/>
  <c r="T11" i="6"/>
  <c r="V11" i="6" s="1"/>
  <c r="T10" i="6"/>
  <c r="V10" i="6" s="1"/>
  <c r="R24" i="6" l="1"/>
  <c r="P24" i="6"/>
  <c r="N24" i="6"/>
  <c r="L24" i="6"/>
  <c r="J24" i="6"/>
  <c r="H24" i="6"/>
  <c r="F24" i="6"/>
  <c r="D24" i="6"/>
  <c r="B24" i="6"/>
  <c r="T24" i="6"/>
  <c r="R20" i="6"/>
  <c r="P20" i="6"/>
  <c r="N20" i="6"/>
  <c r="L20" i="6"/>
  <c r="J20" i="6"/>
  <c r="H20" i="6"/>
  <c r="F20" i="6"/>
  <c r="D20" i="6"/>
  <c r="B20" i="6"/>
  <c r="T20" i="6"/>
  <c r="R16" i="6"/>
  <c r="P16" i="6"/>
  <c r="N16" i="6"/>
  <c r="L16" i="6"/>
  <c r="J16" i="6"/>
  <c r="H16" i="6"/>
  <c r="F16" i="6"/>
  <c r="D16" i="6"/>
  <c r="B16" i="6"/>
  <c r="T16" i="6"/>
  <c r="T12" i="6"/>
  <c r="R12" i="6"/>
  <c r="P12" i="6"/>
  <c r="N12" i="6"/>
  <c r="L12" i="6"/>
  <c r="J12" i="6"/>
  <c r="H12" i="6"/>
  <c r="F12" i="6"/>
  <c r="D12" i="6"/>
  <c r="B12" i="6"/>
  <c r="V24" i="6" l="1"/>
  <c r="V20" i="6"/>
  <c r="V16" i="6"/>
  <c r="V12" i="6"/>
  <c r="C18" i="3" l="1"/>
  <c r="D18" i="3"/>
  <c r="E18" i="3"/>
  <c r="F18" i="3"/>
  <c r="G18" i="3"/>
  <c r="H18" i="3"/>
  <c r="B18" i="3"/>
  <c r="E9" i="3"/>
  <c r="D9" i="3"/>
  <c r="D10" i="3" s="1"/>
  <c r="C9" i="3"/>
  <c r="C10" i="3" s="1"/>
  <c r="C11" i="3" s="1"/>
  <c r="B9" i="3"/>
  <c r="B10" i="3" s="1"/>
  <c r="B11" i="3" s="1"/>
  <c r="G8" i="3"/>
  <c r="G7" i="3"/>
  <c r="K15" i="2"/>
  <c r="J20" i="2"/>
  <c r="K20" i="2" s="1"/>
  <c r="J19" i="2"/>
  <c r="K19" i="2" s="1"/>
  <c r="E21" i="2"/>
  <c r="F21" i="2"/>
  <c r="G21" i="2"/>
  <c r="H21" i="2"/>
  <c r="I21" i="2"/>
  <c r="J15" i="2"/>
  <c r="J14" i="2"/>
  <c r="K14" i="2" s="1"/>
  <c r="G9" i="3" l="1"/>
  <c r="E10" i="3"/>
  <c r="E11" i="3" s="1"/>
  <c r="D11" i="3"/>
  <c r="J21" i="2"/>
  <c r="K21" i="2"/>
  <c r="G10" i="3" l="1"/>
  <c r="G11" i="3" s="1"/>
  <c r="H11" i="3" s="1"/>
  <c r="E16" i="2" l="1"/>
  <c r="E26" i="2" s="1"/>
  <c r="F16" i="2"/>
  <c r="F26" i="2" s="1"/>
  <c r="G16" i="2"/>
  <c r="G26" i="2" s="1"/>
  <c r="H16" i="2"/>
  <c r="H26" i="2" s="1"/>
  <c r="J16" i="2"/>
  <c r="J26" i="2" s="1"/>
  <c r="K16" i="2"/>
  <c r="K26" i="2" l="1"/>
  <c r="D21" i="2"/>
  <c r="D16" i="2"/>
  <c r="D26" i="2" l="1"/>
</calcChain>
</file>

<file path=xl/sharedStrings.xml><?xml version="1.0" encoding="utf-8"?>
<sst xmlns="http://schemas.openxmlformats.org/spreadsheetml/2006/main" count="291" uniqueCount="125">
  <si>
    <t>December</t>
  </si>
  <si>
    <t>2017</t>
  </si>
  <si>
    <t>Total</t>
  </si>
  <si>
    <t>N</t>
  </si>
  <si>
    <t>P</t>
  </si>
  <si>
    <t>280R254N</t>
  </si>
  <si>
    <t>280R254P</t>
  </si>
  <si>
    <t>Regulatory Liability Tax Rate Change - Othr Reg Liab-Protected</t>
  </si>
  <si>
    <t>Total regulatory liabilities</t>
  </si>
  <si>
    <t>Protected/</t>
  </si>
  <si>
    <t>Not Protected</t>
  </si>
  <si>
    <t>Unprotected Acq. Adjustment</t>
  </si>
  <si>
    <t>Acq. Adjustment</t>
  </si>
  <si>
    <t>Acq. Adjustment Gross Up</t>
  </si>
  <si>
    <t>Protected Regulatory Liabilities</t>
  </si>
  <si>
    <t>Total Unprotected Regulatory Liabilities</t>
  </si>
  <si>
    <t>Revised</t>
  </si>
  <si>
    <t>FN</t>
  </si>
  <si>
    <t>CF</t>
  </si>
  <si>
    <t>FI</t>
  </si>
  <si>
    <t>FT</t>
  </si>
  <si>
    <t>FC</t>
  </si>
  <si>
    <t>Allocation</t>
  </si>
  <si>
    <t>Factor</t>
  </si>
  <si>
    <t>Allocated</t>
  </si>
  <si>
    <t>Annual</t>
  </si>
  <si>
    <t>ANNUAL TAX SAVINGS FROM RATE CHANGE:</t>
  </si>
  <si>
    <t>NOI BEFORE TAX CHANGE (PLUS LIMITED PROCEEDING)</t>
  </si>
  <si>
    <t>NOI AFTER TAX CHANGE (INCLUDES LIMITED PROCEEDING)</t>
  </si>
  <si>
    <t>NET INCOME EFFECT OF TAX CHANGE</t>
  </si>
  <si>
    <t>GROSS UP</t>
  </si>
  <si>
    <t>PRETAX - GROSSED UP SAVINGS (EXPENSE)</t>
  </si>
  <si>
    <t>REGULATORY TAX LIABILITY RECORDED:</t>
  </si>
  <si>
    <t>10 Year Amortization</t>
  </si>
  <si>
    <t>Total NG</t>
  </si>
  <si>
    <t>PRETAX - GROSSED UP REG TAX LIABILITY PROTECTED</t>
  </si>
  <si>
    <t>Unprotected Acq Adjustment PRETAX GROSSED UP REG TAX LIABILITY</t>
  </si>
  <si>
    <t>PRETAX - GROSSED UP REG TAX LIABILITY UNPROTECTED</t>
  </si>
  <si>
    <t>Docket No.:</t>
  </si>
  <si>
    <t>Exhibit No.:</t>
  </si>
  <si>
    <t>26 Year Amortization</t>
  </si>
  <si>
    <t>Remaining Life of Acq. Adj.</t>
  </si>
  <si>
    <t>FLORIDA PUBLIC UTILITIES COMPANY</t>
  </si>
  <si>
    <t>Projected 2018 Test Year</t>
  </si>
  <si>
    <t>Computation of Gas Tax Savings</t>
  </si>
  <si>
    <t>Regulatory Tax Liability by Type-Gas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</si>
  <si>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</si>
  <si>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</si>
  <si>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</si>
  <si>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</si>
  <si>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</si>
  <si>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</si>
  <si>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</si>
  <si>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</si>
  <si>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</si>
  <si>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</si>
  <si>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</si>
  <si>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GAIN/LOSS</t>
  </si>
  <si>
    <t>TOTAL</t>
  </si>
  <si>
    <t>NET</t>
  </si>
  <si>
    <t>OPERATING</t>
  </si>
  <si>
    <t>O &amp; M GAS</t>
  </si>
  <si>
    <t>O &amp; M</t>
  </si>
  <si>
    <t>DEPREC. &amp;</t>
  </si>
  <si>
    <t>TAXES OTHER</t>
  </si>
  <si>
    <t>INCOME TAXES</t>
  </si>
  <si>
    <t>D.I.T.</t>
  </si>
  <si>
    <t>I.T.C.</t>
  </si>
  <si>
    <t>ON</t>
  </si>
  <si>
    <t>REVENUES</t>
  </si>
  <si>
    <t>EXPENSE</t>
  </si>
  <si>
    <t>OTHER</t>
  </si>
  <si>
    <t>AMORTIZATION</t>
  </si>
  <si>
    <t>THAN INCOME</t>
  </si>
  <si>
    <t>CURRENT</t>
  </si>
  <si>
    <t>(NET)</t>
  </si>
  <si>
    <t>DISPOSITION</t>
  </si>
  <si>
    <t>EXPENSES</t>
  </si>
  <si>
    <t>INCOME</t>
  </si>
  <si>
    <t>DIFFERENCE</t>
  </si>
  <si>
    <t>FPSC ADJUSTED AT OLD TAX RATES FN</t>
  </si>
  <si>
    <t>FPSC ADJUSTED AT NEW TAX RATES FN</t>
  </si>
  <si>
    <t>FPSC ADJUSTED AT OLD TAX RATES CF</t>
  </si>
  <si>
    <t>FPSC ADJUSTED AT NEW TAX RATES CF</t>
  </si>
  <si>
    <t>FPSC ADJUSTED AT OLD TAX RATES FI</t>
  </si>
  <si>
    <t>FPSC ADJUSTED AT NEW TAX RATES FI</t>
  </si>
  <si>
    <t>FPSC ADJUSTED AT OLD TAX RATES FT</t>
  </si>
  <si>
    <t>FPSC ADJUSTED AT NEW TAX RATES FT</t>
  </si>
  <si>
    <t>Computation of Gas Tax Savings Before Gross Up and Provision for Refund</t>
  </si>
  <si>
    <t>Average 13</t>
  </si>
  <si>
    <t>Months Ended</t>
  </si>
  <si>
    <t>Rate Base</t>
  </si>
  <si>
    <t>Less: Interest on LTD</t>
  </si>
  <si>
    <t xml:space="preserve">      Interest on STD</t>
  </si>
  <si>
    <t xml:space="preserve">      Interest on LTD Fc</t>
  </si>
  <si>
    <t xml:space="preserve">      Int. on Cust. Dep.</t>
  </si>
  <si>
    <t xml:space="preserve">      Int on flex rate liability</t>
  </si>
  <si>
    <t>Imputed Int. Deduction</t>
  </si>
  <si>
    <t>Interest per books</t>
  </si>
  <si>
    <t>Difference</t>
  </si>
  <si>
    <t>Times effective tax rate</t>
  </si>
  <si>
    <t>Interest synchronization adjustment</t>
  </si>
  <si>
    <t>Income Tax Adjustment</t>
  </si>
  <si>
    <t>Net Income Pre-Tax Adjusted (Sch 2 &amp; 3 pg 2)</t>
  </si>
  <si>
    <t>Less:</t>
  </si>
  <si>
    <t>Imputed Interest (above)</t>
  </si>
  <si>
    <t>Taxes Should Be</t>
  </si>
  <si>
    <t>Income Tax on Surveillance Adj. before Int. Sync.</t>
  </si>
  <si>
    <t>Interest Sync Adjustment</t>
  </si>
  <si>
    <t>Total Adjusted Income Tax</t>
  </si>
  <si>
    <t>Income Tax</t>
  </si>
  <si>
    <t>Before Tax Reform</t>
  </si>
  <si>
    <t>After Tax Reform</t>
  </si>
  <si>
    <t>Computation of FN Tax Expense</t>
  </si>
  <si>
    <t>Computation of CF Tax Expense</t>
  </si>
  <si>
    <t>Computation of FI Tax Expense</t>
  </si>
  <si>
    <t>Computation of FT Tax Expense</t>
  </si>
  <si>
    <t>Non-Taxable Portion of Acq. Adj.</t>
  </si>
  <si>
    <t>Total Income Tax</t>
  </si>
  <si>
    <t>Income Tax Budgeted</t>
  </si>
  <si>
    <t>FC Allocated</t>
  </si>
  <si>
    <t>Total FN</t>
  </si>
  <si>
    <t>Total CF</t>
  </si>
  <si>
    <t>Total FI</t>
  </si>
  <si>
    <t>Total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</si>
</sst>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##0;\(#,###,##0\)"/>
    <numFmt numFmtId="165" formatCode="#,##0;\(#,##0\)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0" formatCode="&quot;$&quot;#,##0"/>
    <numFmt numFmtId="171" formatCode="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9"/>
      <color theme="1"/>
      <name val="Times New Roman"/>
      <family val="1"/>
    </font>
    <font>
      <sz val="9"/>
      <color indexed="0"/>
      <name val="Times New Roman"/>
      <family val="1"/>
    </font>
    <font>
      <b/>
      <sz val="9"/>
      <color indexed="0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name val="Calibri"/>
      <family val="2"/>
      <scheme val="minor"/>
    </font>
    <font>
      <sz val="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5" fontId="2" fillId="0" borderId="0"/>
    <xf numFmtId="0" fontId="2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Fill="1"/>
    <xf numFmtId="166" fontId="3" fillId="0" borderId="0" xfId="2" applyNumberFormat="1" applyFont="1" applyFill="1"/>
    <xf numFmtId="167" fontId="3" fillId="0" borderId="0" xfId="1" applyNumberFormat="1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9" fillId="0" borderId="0" xfId="0" applyFont="1"/>
    <xf numFmtId="165" fontId="4" fillId="0" borderId="0" xfId="4" applyFont="1"/>
    <xf numFmtId="165" fontId="5" fillId="0" borderId="0" xfId="4" applyFont="1"/>
    <xf numFmtId="49" fontId="4" fillId="0" borderId="0" xfId="4" applyNumberFormat="1" applyFont="1" applyAlignment="1">
      <alignment horizontal="fill"/>
    </xf>
    <xf numFmtId="165" fontId="7" fillId="0" borderId="3" xfId="4" applyFont="1" applyBorder="1"/>
    <xf numFmtId="0" fontId="6" fillId="0" borderId="0" xfId="0" applyFont="1" applyAlignment="1">
      <alignment horizontal="left"/>
    </xf>
    <xf numFmtId="165" fontId="7" fillId="0" borderId="0" xfId="4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9" fontId="7" fillId="0" borderId="1" xfId="4" applyNumberFormat="1" applyFont="1" applyBorder="1" applyAlignment="1">
      <alignment horizontal="center"/>
    </xf>
    <xf numFmtId="167" fontId="6" fillId="0" borderId="0" xfId="1" applyNumberFormat="1" applyFont="1" applyFill="1" applyAlignment="1">
      <alignment horizontal="center"/>
    </xf>
    <xf numFmtId="167" fontId="4" fillId="0" borderId="0" xfId="1" applyNumberFormat="1" applyFont="1" applyFill="1"/>
    <xf numFmtId="167" fontId="7" fillId="0" borderId="3" xfId="1" applyNumberFormat="1" applyFont="1" applyBorder="1"/>
    <xf numFmtId="167" fontId="7" fillId="0" borderId="0" xfId="1" applyNumberFormat="1" applyFont="1" applyFill="1" applyBorder="1"/>
    <xf numFmtId="167" fontId="4" fillId="0" borderId="0" xfId="1" applyNumberFormat="1" applyFont="1"/>
    <xf numFmtId="167" fontId="4" fillId="0" borderId="0" xfId="1" applyNumberFormat="1" applyFont="1" applyAlignment="1">
      <alignment horizontal="fill"/>
    </xf>
    <xf numFmtId="167" fontId="5" fillId="0" borderId="0" xfId="1" applyNumberFormat="1" applyFont="1" applyFill="1" applyAlignment="1">
      <alignment horizontal="center"/>
    </xf>
    <xf numFmtId="166" fontId="6" fillId="0" borderId="0" xfId="2" applyNumberFormat="1" applyFont="1" applyFill="1" applyAlignment="1">
      <alignment horizontal="center"/>
    </xf>
    <xf numFmtId="166" fontId="5" fillId="0" borderId="0" xfId="2" applyNumberFormat="1" applyFont="1" applyFill="1" applyAlignment="1">
      <alignment horizontal="center"/>
    </xf>
    <xf numFmtId="166" fontId="4" fillId="0" borderId="0" xfId="2" applyNumberFormat="1" applyFont="1" applyFill="1"/>
    <xf numFmtId="166" fontId="7" fillId="0" borderId="3" xfId="2" applyNumberFormat="1" applyFont="1" applyBorder="1"/>
    <xf numFmtId="166" fontId="7" fillId="0" borderId="0" xfId="2" applyNumberFormat="1" applyFont="1" applyFill="1" applyBorder="1"/>
    <xf numFmtId="166" fontId="4" fillId="0" borderId="0" xfId="2" applyNumberFormat="1" applyFont="1"/>
    <xf numFmtId="166" fontId="4" fillId="0" borderId="0" xfId="2" applyNumberFormat="1" applyFont="1" applyAlignment="1">
      <alignment horizontal="fill"/>
    </xf>
    <xf numFmtId="165" fontId="5" fillId="0" borderId="2" xfId="4" applyFont="1" applyBorder="1"/>
    <xf numFmtId="0" fontId="8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center"/>
    </xf>
    <xf numFmtId="168" fontId="0" fillId="0" borderId="0" xfId="6" applyNumberFormat="1" applyFont="1" applyFill="1"/>
    <xf numFmtId="168" fontId="0" fillId="0" borderId="2" xfId="6" applyNumberFormat="1" applyFont="1" applyFill="1" applyBorder="1"/>
    <xf numFmtId="168" fontId="0" fillId="0" borderId="0" xfId="0" applyNumberFormat="1" applyFill="1"/>
    <xf numFmtId="168" fontId="0" fillId="0" borderId="0" xfId="6" applyNumberFormat="1" applyFont="1" applyFill="1" applyBorder="1"/>
    <xf numFmtId="168" fontId="0" fillId="0" borderId="2" xfId="0" applyNumberFormat="1" applyBorder="1"/>
    <xf numFmtId="0" fontId="10" fillId="0" borderId="0" xfId="0" applyFont="1" applyFill="1"/>
    <xf numFmtId="0" fontId="6" fillId="0" borderId="0" xfId="0" applyFont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3" fillId="0" borderId="0" xfId="0" applyFont="1"/>
    <xf numFmtId="0" fontId="14" fillId="0" borderId="0" xfId="0" quotePrefix="1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Fill="1" applyBorder="1"/>
    <xf numFmtId="168" fontId="14" fillId="0" borderId="0" xfId="6" applyNumberFormat="1" applyFont="1" applyFill="1" applyBorder="1"/>
    <xf numFmtId="168" fontId="13" fillId="0" borderId="2" xfId="6" applyNumberFormat="1" applyFont="1" applyBorder="1"/>
    <xf numFmtId="168" fontId="13" fillId="0" borderId="0" xfId="6" applyNumberFormat="1" applyFont="1"/>
    <xf numFmtId="0" fontId="15" fillId="0" borderId="0" xfId="0" applyFont="1" applyFill="1"/>
    <xf numFmtId="0" fontId="11" fillId="0" borderId="0" xfId="0" applyFont="1" applyFill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6" fontId="11" fillId="0" borderId="0" xfId="0" applyNumberFormat="1" applyFont="1" applyFill="1"/>
    <xf numFmtId="10" fontId="11" fillId="0" borderId="0" xfId="0" applyNumberFormat="1" applyFont="1" applyFill="1"/>
    <xf numFmtId="6" fontId="11" fillId="0" borderId="4" xfId="0" applyNumberFormat="1" applyFont="1" applyFill="1" applyBorder="1"/>
    <xf numFmtId="170" fontId="11" fillId="0" borderId="0" xfId="0" applyNumberFormat="1" applyFont="1" applyFill="1"/>
    <xf numFmtId="5" fontId="11" fillId="0" borderId="2" xfId="0" applyNumberFormat="1" applyFont="1" applyFill="1" applyBorder="1"/>
    <xf numFmtId="0" fontId="15" fillId="0" borderId="0" xfId="0" applyFont="1" applyFill="1" applyBorder="1"/>
    <xf numFmtId="0" fontId="11" fillId="0" borderId="0" xfId="0" applyFont="1" applyFill="1" applyBorder="1"/>
    <xf numFmtId="14" fontId="11" fillId="0" borderId="0" xfId="0" applyNumberFormat="1" applyFont="1" applyFill="1" applyBorder="1"/>
    <xf numFmtId="3" fontId="11" fillId="0" borderId="0" xfId="0" applyNumberFormat="1" applyFont="1" applyFill="1" applyBorder="1"/>
    <xf numFmtId="37" fontId="11" fillId="0" borderId="0" xfId="0" applyNumberFormat="1" applyFont="1" applyFill="1"/>
    <xf numFmtId="6" fontId="11" fillId="0" borderId="1" xfId="0" applyNumberFormat="1" applyFont="1" applyFill="1" applyBorder="1"/>
    <xf numFmtId="37" fontId="16" fillId="0" borderId="0" xfId="0" applyNumberFormat="1" applyFont="1" applyFill="1"/>
    <xf numFmtId="37" fontId="16" fillId="0" borderId="4" xfId="0" applyNumberFormat="1" applyFont="1" applyFill="1" applyBorder="1"/>
    <xf numFmtId="37" fontId="11" fillId="0" borderId="2" xfId="0" applyNumberFormat="1" applyFont="1" applyFill="1" applyBorder="1"/>
    <xf numFmtId="167" fontId="11" fillId="0" borderId="0" xfId="1" applyNumberFormat="1" applyFont="1" applyFill="1"/>
    <xf numFmtId="167" fontId="11" fillId="0" borderId="2" xfId="1" applyNumberFormat="1" applyFont="1" applyFill="1" applyBorder="1"/>
    <xf numFmtId="169" fontId="11" fillId="0" borderId="0" xfId="6" applyNumberFormat="1" applyFont="1" applyFill="1"/>
    <xf numFmtId="169" fontId="11" fillId="0" borderId="0" xfId="6" applyNumberFormat="1" applyFont="1" applyFill="1" applyAlignment="1">
      <alignment horizontal="center"/>
    </xf>
    <xf numFmtId="169" fontId="11" fillId="0" borderId="1" xfId="6" applyNumberFormat="1" applyFont="1" applyFill="1" applyBorder="1" applyAlignment="1">
      <alignment horizontal="center"/>
    </xf>
    <xf numFmtId="168" fontId="11" fillId="0" borderId="0" xfId="6" applyNumberFormat="1" applyFont="1" applyFill="1"/>
    <xf numFmtId="168" fontId="11" fillId="0" borderId="2" xfId="6" applyNumberFormat="1" applyFont="1" applyFill="1" applyBorder="1"/>
    <xf numFmtId="168" fontId="11" fillId="0" borderId="1" xfId="6" applyNumberFormat="1" applyFont="1" applyFill="1" applyBorder="1"/>
    <xf numFmtId="168" fontId="11" fillId="0" borderId="0" xfId="6" applyNumberFormat="1" applyFont="1" applyFill="1" applyBorder="1"/>
    <xf numFmtId="168" fontId="16" fillId="0" borderId="0" xfId="6" applyNumberFormat="1" applyFont="1" applyFill="1"/>
    <xf numFmtId="168" fontId="16" fillId="0" borderId="4" xfId="6" applyNumberFormat="1" applyFont="1" applyFill="1" applyBorder="1"/>
    <xf numFmtId="171" fontId="11" fillId="0" borderId="0" xfId="6" applyNumberFormat="1" applyFont="1" applyFill="1"/>
    <xf numFmtId="168" fontId="11" fillId="0" borderId="4" xfId="6" applyNumberFormat="1" applyFont="1" applyFill="1" applyBorder="1"/>
    <xf numFmtId="168" fontId="11" fillId="0" borderId="0" xfId="0" applyNumberFormat="1" applyFont="1" applyFill="1"/>
    <xf numFmtId="43" fontId="7" fillId="0" borderId="3" xfId="1" applyNumberFormat="1" applyFont="1" applyBorder="1"/>
    <xf numFmtId="9" fontId="0" fillId="0" borderId="0" xfId="2" applyFont="1" applyFill="1"/>
    <xf numFmtId="0" fontId="8" fillId="2" borderId="0" xfId="0" applyFont="1" applyFill="1" applyAlignment="1">
      <alignment horizontal="center"/>
    </xf>
    <xf numFmtId="168" fontId="0" fillId="2" borderId="0" xfId="6" applyNumberFormat="1" applyFont="1" applyFill="1"/>
    <xf numFmtId="168" fontId="0" fillId="2" borderId="2" xfId="6" applyNumberFormat="1" applyFont="1" applyFill="1" applyBorder="1"/>
    <xf numFmtId="168" fontId="0" fillId="2" borderId="0" xfId="6" applyNumberFormat="1" applyFont="1" applyFill="1" applyBorder="1"/>
    <xf numFmtId="168" fontId="0" fillId="2" borderId="2" xfId="0" applyNumberFormat="1" applyFill="1" applyBorder="1"/>
    <xf numFmtId="0" fontId="8" fillId="3" borderId="0" xfId="0" applyFont="1" applyFill="1" applyAlignment="1">
      <alignment horizontal="center"/>
    </xf>
    <xf numFmtId="168" fontId="0" fillId="3" borderId="0" xfId="6" applyNumberFormat="1" applyFont="1" applyFill="1" applyBorder="1"/>
    <xf numFmtId="168" fontId="0" fillId="3" borderId="2" xfId="6" applyNumberFormat="1" applyFont="1" applyFill="1" applyBorder="1"/>
    <xf numFmtId="168" fontId="0" fillId="3" borderId="0" xfId="6" applyNumberFormat="1" applyFont="1" applyFill="1"/>
    <xf numFmtId="168" fontId="0" fillId="3" borderId="2" xfId="0" applyNumberFormat="1" applyFill="1" applyBorder="1"/>
  </cellXfs>
  <cellStyles count="7">
    <cellStyle name="Comma" xfId="1" builtinId="3"/>
    <cellStyle name="Currency" xfId="6" builtinId="4"/>
    <cellStyle name="FRxAmtStyle" xfId="4"/>
    <cellStyle name="FRxAmtStyle 10 2" xfId="3"/>
    <cellStyle name="Normal" xfId="0" builtinId="0"/>
    <cellStyle name="Normal 2 4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0" Type="http://schemas.openxmlformats.org/officeDocument/2006/relationships/styles" Target="styles.xml" />
  <Relationship Id="rId9" Type="http://schemas.openxmlformats.org/officeDocument/2006/relationships/theme" Target="theme/theme1.xml" />
  <Relationship Id="rId11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12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C32" sqref="C32"/>
    </sheetView>
  </sheetViews>
  <sheetFormatPr defaultRowHeight="15" x14ac:dyDescent="0.25"/>
  <cols>
    <col min="1" max="1" width="63.140625" bestFit="1" customWidth="1"/>
    <col min="2" max="2" width="12.5703125" bestFit="1" customWidth="1"/>
    <col min="3" max="3" width="11.5703125" bestFit="1" customWidth="1"/>
    <col min="4" max="4" width="10.7109375" bestFit="1" customWidth="1"/>
    <col min="5" max="5" width="9.7109375" bestFit="1" customWidth="1"/>
    <col min="6" max="6" width="10.7109375" bestFit="1" customWidth="1"/>
    <col min="7" max="7" width="12.5703125" bestFit="1" customWidth="1"/>
    <col min="8" max="8" width="14.28515625" bestFit="1" customWidth="1"/>
  </cols>
  <sheetData>
    <row r="1" spans="1:9" ht="15.75" x14ac:dyDescent="0.25">
      <c r="A1" s="40" t="s">
        <v>42</v>
      </c>
      <c r="B1" s="33"/>
      <c r="C1" s="33"/>
      <c r="D1" s="33"/>
      <c r="E1" s="33"/>
      <c r="F1" s="32" t="s">
        <v>38</v>
      </c>
      <c r="G1" s="32"/>
      <c r="H1" s="32"/>
      <c r="I1" s="33"/>
    </row>
    <row r="2" spans="1:9" ht="15.75" x14ac:dyDescent="0.25">
      <c r="A2" s="40" t="s">
        <v>44</v>
      </c>
      <c r="B2" s="33"/>
      <c r="C2" s="33"/>
      <c r="D2" s="33"/>
      <c r="E2" s="33"/>
      <c r="F2" s="32" t="s">
        <v>39</v>
      </c>
      <c r="G2" s="32"/>
      <c r="H2" s="32"/>
      <c r="I2" s="33"/>
    </row>
    <row r="3" spans="1:9" ht="15.75" x14ac:dyDescent="0.25">
      <c r="A3" s="40" t="s">
        <v>43</v>
      </c>
      <c r="B3" s="33"/>
      <c r="C3" s="33"/>
      <c r="D3" s="33"/>
      <c r="E3" s="33"/>
      <c r="F3" s="33"/>
      <c r="G3" s="33"/>
      <c r="H3" s="33"/>
      <c r="I3" s="33"/>
    </row>
    <row r="4" spans="1:9" ht="15.75" x14ac:dyDescent="0.25">
      <c r="A4" s="40"/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33"/>
      <c r="B5" s="34" t="s">
        <v>17</v>
      </c>
      <c r="C5" s="34" t="s">
        <v>18</v>
      </c>
      <c r="D5" s="34" t="s">
        <v>19</v>
      </c>
      <c r="E5" s="34" t="s">
        <v>20</v>
      </c>
      <c r="F5" s="34" t="s">
        <v>21</v>
      </c>
      <c r="G5" s="34" t="s">
        <v>34</v>
      </c>
      <c r="H5" s="34" t="s">
        <v>25</v>
      </c>
      <c r="I5" s="34"/>
    </row>
    <row r="6" spans="1:9" x14ac:dyDescent="0.25">
      <c r="A6" s="32" t="s">
        <v>26</v>
      </c>
      <c r="B6" s="34"/>
      <c r="C6" s="34"/>
      <c r="D6" s="34"/>
      <c r="E6" s="34"/>
      <c r="F6" s="34"/>
      <c r="G6" s="34"/>
      <c r="H6" s="34"/>
      <c r="I6" s="33"/>
    </row>
    <row r="7" spans="1:9" x14ac:dyDescent="0.25">
      <c r="A7" s="33" t="s">
        <v>27</v>
      </c>
      <c r="B7" s="35">
        <v>10640348</v>
      </c>
      <c r="C7" s="35">
        <v>4445528</v>
      </c>
      <c r="D7" s="35">
        <v>-156494</v>
      </c>
      <c r="E7" s="35">
        <v>-50941</v>
      </c>
      <c r="F7" s="35"/>
      <c r="G7" s="35">
        <f>SUM(B7:E7)</f>
        <v>14878441</v>
      </c>
      <c r="H7" s="33"/>
      <c r="I7" s="33"/>
    </row>
    <row r="8" spans="1:9" x14ac:dyDescent="0.25">
      <c r="A8" s="33" t="s">
        <v>28</v>
      </c>
      <c r="B8" s="35">
        <v>12268779</v>
      </c>
      <c r="C8" s="35">
        <v>5158109</v>
      </c>
      <c r="D8" s="35">
        <v>-196879</v>
      </c>
      <c r="E8" s="35">
        <v>-64326</v>
      </c>
      <c r="F8" s="35"/>
      <c r="G8" s="35">
        <f t="shared" ref="G8" si="0">SUM(B8:E8)</f>
        <v>17165683</v>
      </c>
      <c r="H8" s="33"/>
      <c r="I8" s="33"/>
    </row>
    <row r="9" spans="1:9" x14ac:dyDescent="0.25">
      <c r="A9" s="33" t="s">
        <v>29</v>
      </c>
      <c r="B9" s="35">
        <f t="shared" ref="B9:G9" si="1">-B7+B8</f>
        <v>1628431</v>
      </c>
      <c r="C9" s="35">
        <f t="shared" si="1"/>
        <v>712581</v>
      </c>
      <c r="D9" s="35">
        <f t="shared" si="1"/>
        <v>-40385</v>
      </c>
      <c r="E9" s="35">
        <f t="shared" si="1"/>
        <v>-13385</v>
      </c>
      <c r="F9" s="35"/>
      <c r="G9" s="35">
        <f t="shared" si="1"/>
        <v>2287242</v>
      </c>
      <c r="H9" s="33"/>
      <c r="I9" s="33"/>
    </row>
    <row r="10" spans="1:9" x14ac:dyDescent="0.25">
      <c r="A10" s="33" t="s">
        <v>30</v>
      </c>
      <c r="B10" s="35">
        <f t="shared" ref="B10:G10" si="2">ROUND(B9/(1-0.25345)-B9,0)</f>
        <v>552844</v>
      </c>
      <c r="C10" s="35">
        <f t="shared" si="2"/>
        <v>241918</v>
      </c>
      <c r="D10" s="35">
        <f t="shared" si="2"/>
        <v>-13711</v>
      </c>
      <c r="E10" s="35">
        <f t="shared" si="2"/>
        <v>-4544</v>
      </c>
      <c r="F10" s="35"/>
      <c r="G10" s="35">
        <f t="shared" si="2"/>
        <v>776507</v>
      </c>
      <c r="H10" s="33"/>
      <c r="I10" s="33"/>
    </row>
    <row r="11" spans="1:9" ht="15.75" thickBot="1" x14ac:dyDescent="0.3">
      <c r="A11" s="33" t="s">
        <v>31</v>
      </c>
      <c r="B11" s="36">
        <f t="shared" ref="B11:G11" si="3">+B9+B10</f>
        <v>2181275</v>
      </c>
      <c r="C11" s="36">
        <f t="shared" si="3"/>
        <v>954499</v>
      </c>
      <c r="D11" s="36">
        <f t="shared" si="3"/>
        <v>-54096</v>
      </c>
      <c r="E11" s="36">
        <f t="shared" si="3"/>
        <v>-17929</v>
      </c>
      <c r="F11" s="38"/>
      <c r="G11" s="36">
        <f t="shared" si="3"/>
        <v>3063749</v>
      </c>
      <c r="H11" s="37">
        <f>+G11</f>
        <v>3063749</v>
      </c>
      <c r="I11" s="37" t="s">
        <v>25</v>
      </c>
    </row>
    <row r="12" spans="1:9" ht="15.75" thickTop="1" x14ac:dyDescent="0.25">
      <c r="A12" s="33"/>
      <c r="B12" s="35"/>
      <c r="C12" s="35"/>
      <c r="D12" s="35"/>
      <c r="E12" s="35"/>
      <c r="F12" s="35"/>
      <c r="G12" s="35"/>
      <c r="H12" s="33"/>
      <c r="I12" s="33"/>
    </row>
    <row r="13" spans="1:9" x14ac:dyDescent="0.25">
      <c r="A13" s="33"/>
      <c r="B13" s="35"/>
      <c r="C13" s="35"/>
      <c r="D13" s="35"/>
      <c r="E13" s="35"/>
      <c r="F13" s="35"/>
      <c r="G13" s="35"/>
      <c r="H13" s="33"/>
      <c r="I13" s="33"/>
    </row>
    <row r="14" spans="1:9" x14ac:dyDescent="0.25">
      <c r="A14" s="32" t="s">
        <v>32</v>
      </c>
      <c r="B14" s="35"/>
      <c r="C14" s="35"/>
      <c r="D14" s="35"/>
      <c r="E14" s="35"/>
      <c r="F14" s="35"/>
      <c r="G14" s="35"/>
      <c r="H14" s="33"/>
      <c r="I14" s="33"/>
    </row>
    <row r="15" spans="1:9" x14ac:dyDescent="0.25">
      <c r="A15" s="33" t="s">
        <v>35</v>
      </c>
      <c r="B15" s="38">
        <v>21601595</v>
      </c>
      <c r="C15" s="38">
        <v>8714653</v>
      </c>
      <c r="D15" s="38">
        <v>186581</v>
      </c>
      <c r="E15" s="38">
        <v>53331</v>
      </c>
      <c r="F15" s="38">
        <v>277415.136</v>
      </c>
      <c r="G15" s="38">
        <f>SUM(B15:F15)</f>
        <v>30833575.136</v>
      </c>
      <c r="H15" s="38">
        <f>G15/26</f>
        <v>1185906.736</v>
      </c>
      <c r="I15" s="33" t="s">
        <v>40</v>
      </c>
    </row>
    <row r="16" spans="1:9" x14ac:dyDescent="0.25">
      <c r="A16" s="33" t="s">
        <v>36</v>
      </c>
      <c r="B16" s="38">
        <v>6518569</v>
      </c>
      <c r="C16" s="38">
        <v>0</v>
      </c>
      <c r="D16" s="38">
        <v>0</v>
      </c>
      <c r="E16" s="38">
        <v>0</v>
      </c>
      <c r="F16" s="38">
        <v>0</v>
      </c>
      <c r="G16" s="38">
        <f t="shared" ref="G16:G17" si="4">SUM(B16:F16)</f>
        <v>6518569</v>
      </c>
      <c r="H16" s="38">
        <v>298560</v>
      </c>
      <c r="I16" s="33" t="s">
        <v>41</v>
      </c>
    </row>
    <row r="17" spans="1:9" x14ac:dyDescent="0.25">
      <c r="A17" s="33" t="s">
        <v>37</v>
      </c>
      <c r="B17" s="38">
        <v>-2558387</v>
      </c>
      <c r="C17" s="38">
        <v>-239076</v>
      </c>
      <c r="D17" s="38">
        <v>29622</v>
      </c>
      <c r="E17" s="38">
        <v>39710</v>
      </c>
      <c r="F17" s="38">
        <v>-501255.63199999998</v>
      </c>
      <c r="G17" s="38">
        <f t="shared" si="4"/>
        <v>-3229386.6320000002</v>
      </c>
      <c r="H17" s="38">
        <f>G17/10</f>
        <v>-322938.66320000001</v>
      </c>
      <c r="I17" s="33" t="s">
        <v>33</v>
      </c>
    </row>
    <row r="18" spans="1:9" ht="15.75" thickBot="1" x14ac:dyDescent="0.3">
      <c r="B18" s="39">
        <f>SUM(B15:B17)</f>
        <v>25561777</v>
      </c>
      <c r="C18" s="39">
        <f t="shared" ref="C18:H18" si="5">SUM(C15:C17)</f>
        <v>8475577</v>
      </c>
      <c r="D18" s="39">
        <f t="shared" si="5"/>
        <v>216203</v>
      </c>
      <c r="E18" s="39">
        <f t="shared" si="5"/>
        <v>93041</v>
      </c>
      <c r="F18" s="39">
        <f t="shared" si="5"/>
        <v>-223840.49599999998</v>
      </c>
      <c r="G18" s="39">
        <f t="shared" si="5"/>
        <v>34122757.504000001</v>
      </c>
      <c r="H18" s="39">
        <f t="shared" si="5"/>
        <v>1161528.0728</v>
      </c>
    </row>
    <row r="19" spans="1:9" ht="15.75" thickTop="1" x14ac:dyDescent="0.25"/>
  </sheetData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defaultRowHeight="15" x14ac:dyDescent="0.25"/>
  <cols>
    <col min="1" max="1" width="63.140625" bestFit="1" customWidth="1"/>
    <col min="2" max="2" width="12.5703125" bestFit="1" customWidth="1"/>
    <col min="3" max="4" width="12.5703125" customWidth="1"/>
    <col min="5" max="5" width="11.5703125" bestFit="1" customWidth="1"/>
    <col min="6" max="7" width="11.5703125" customWidth="1"/>
    <col min="8" max="8" width="10.7109375" bestFit="1" customWidth="1"/>
    <col min="9" max="9" width="13.42578125" customWidth="1"/>
    <col min="10" max="10" width="10.7109375" customWidth="1"/>
    <col min="11" max="11" width="9.7109375" bestFit="1" customWidth="1"/>
    <col min="12" max="12" width="13.42578125" customWidth="1"/>
    <col min="13" max="13" width="9.7109375" customWidth="1"/>
    <col min="14" max="14" width="12.5703125" bestFit="1" customWidth="1"/>
    <col min="15" max="15" width="14.28515625" bestFit="1" customWidth="1"/>
  </cols>
  <sheetData>
    <row r="1" spans="1:16" ht="15.75" x14ac:dyDescent="0.25">
      <c r="A1" s="40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2"/>
      <c r="O1" s="32"/>
      <c r="P1" s="33"/>
    </row>
    <row r="2" spans="1:16" ht="15.75" x14ac:dyDescent="0.25">
      <c r="A2" s="40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2"/>
      <c r="O2" s="32"/>
      <c r="P2" s="33"/>
    </row>
    <row r="3" spans="1:16" ht="15.75" x14ac:dyDescent="0.25">
      <c r="A3" s="40" t="s">
        <v>43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.75" x14ac:dyDescent="0.25">
      <c r="A4" s="40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33"/>
      <c r="B5" s="34" t="s">
        <v>17</v>
      </c>
      <c r="C5" s="34" t="s">
        <v>120</v>
      </c>
      <c r="D5" s="87" t="s">
        <v>121</v>
      </c>
      <c r="E5" s="34" t="s">
        <v>18</v>
      </c>
      <c r="F5" s="34" t="s">
        <v>120</v>
      </c>
      <c r="G5" s="87" t="s">
        <v>122</v>
      </c>
      <c r="H5" s="34" t="s">
        <v>19</v>
      </c>
      <c r="I5" s="34" t="s">
        <v>120</v>
      </c>
      <c r="J5" s="87" t="s">
        <v>123</v>
      </c>
      <c r="K5" s="34" t="s">
        <v>20</v>
      </c>
      <c r="L5" s="34" t="s">
        <v>120</v>
      </c>
      <c r="M5" s="87" t="s">
        <v>124</v>
      </c>
      <c r="N5" s="92" t="s">
        <v>34</v>
      </c>
      <c r="O5" s="34" t="s">
        <v>25</v>
      </c>
      <c r="P5" s="34"/>
    </row>
    <row r="6" spans="1:16" x14ac:dyDescent="0.25">
      <c r="A6" s="32" t="s">
        <v>26</v>
      </c>
      <c r="B6" s="34"/>
      <c r="C6" s="34"/>
      <c r="D6" s="87"/>
      <c r="E6" s="34"/>
      <c r="F6" s="34"/>
      <c r="G6" s="87"/>
      <c r="H6" s="34"/>
      <c r="I6" s="34"/>
      <c r="J6" s="87"/>
      <c r="K6" s="34"/>
      <c r="L6" s="34"/>
      <c r="M6" s="87"/>
      <c r="N6" s="92"/>
      <c r="O6" s="34"/>
      <c r="P6" s="33"/>
    </row>
    <row r="7" spans="1:16" x14ac:dyDescent="0.25">
      <c r="A7" s="33" t="s">
        <v>27</v>
      </c>
      <c r="B7" s="35">
        <v>10640348</v>
      </c>
      <c r="C7" s="35"/>
      <c r="D7" s="90">
        <f t="shared" ref="D7:D10" si="0">B7+C7</f>
        <v>10640348</v>
      </c>
      <c r="E7" s="35">
        <v>4445528</v>
      </c>
      <c r="F7" s="38"/>
      <c r="G7" s="90">
        <f t="shared" ref="G7:G10" si="1">E7+F7</f>
        <v>4445528</v>
      </c>
      <c r="H7" s="35">
        <v>-156494</v>
      </c>
      <c r="I7" s="35"/>
      <c r="J7" s="90">
        <f t="shared" ref="J7:J10" si="2">H7+I7</f>
        <v>-156494</v>
      </c>
      <c r="K7" s="35">
        <v>-50941</v>
      </c>
      <c r="L7" s="35"/>
      <c r="M7" s="90">
        <f t="shared" ref="M7:M10" si="3">K7+L7</f>
        <v>-50941</v>
      </c>
      <c r="N7" s="93">
        <f t="shared" ref="N7:N10" si="4">M7+J7+G7+D7</f>
        <v>14878441</v>
      </c>
      <c r="O7" s="33"/>
      <c r="P7" s="33"/>
    </row>
    <row r="8" spans="1:16" x14ac:dyDescent="0.25">
      <c r="A8" s="33" t="s">
        <v>28</v>
      </c>
      <c r="B8" s="35">
        <v>12268779</v>
      </c>
      <c r="C8" s="35"/>
      <c r="D8" s="90">
        <f t="shared" si="0"/>
        <v>12268779</v>
      </c>
      <c r="E8" s="35">
        <v>5158109</v>
      </c>
      <c r="F8" s="38"/>
      <c r="G8" s="90">
        <f t="shared" si="1"/>
        <v>5158109</v>
      </c>
      <c r="H8" s="35">
        <v>-196879</v>
      </c>
      <c r="I8" s="35"/>
      <c r="J8" s="90">
        <f t="shared" si="2"/>
        <v>-196879</v>
      </c>
      <c r="K8" s="35">
        <v>-64326</v>
      </c>
      <c r="L8" s="35"/>
      <c r="M8" s="90">
        <f t="shared" si="3"/>
        <v>-64326</v>
      </c>
      <c r="N8" s="93">
        <f t="shared" si="4"/>
        <v>17165683</v>
      </c>
      <c r="O8" s="33"/>
      <c r="P8" s="33"/>
    </row>
    <row r="9" spans="1:16" x14ac:dyDescent="0.25">
      <c r="A9" s="33" t="s">
        <v>29</v>
      </c>
      <c r="B9" s="35">
        <f t="shared" ref="B9:K9" si="5">-B7+B8</f>
        <v>1628431</v>
      </c>
      <c r="C9" s="35"/>
      <c r="D9" s="90">
        <f t="shared" si="0"/>
        <v>1628431</v>
      </c>
      <c r="E9" s="35">
        <f t="shared" si="5"/>
        <v>712581</v>
      </c>
      <c r="F9" s="38"/>
      <c r="G9" s="90">
        <f t="shared" si="1"/>
        <v>712581</v>
      </c>
      <c r="H9" s="35">
        <f t="shared" si="5"/>
        <v>-40385</v>
      </c>
      <c r="I9" s="35"/>
      <c r="J9" s="90">
        <f t="shared" si="2"/>
        <v>-40385</v>
      </c>
      <c r="K9" s="35">
        <f t="shared" si="5"/>
        <v>-13385</v>
      </c>
      <c r="L9" s="35"/>
      <c r="M9" s="90">
        <f t="shared" si="3"/>
        <v>-13385</v>
      </c>
      <c r="N9" s="93">
        <f t="shared" si="4"/>
        <v>2287242</v>
      </c>
      <c r="O9" s="33"/>
      <c r="P9" s="33"/>
    </row>
    <row r="10" spans="1:16" x14ac:dyDescent="0.25">
      <c r="A10" s="33" t="s">
        <v>30</v>
      </c>
      <c r="B10" s="35">
        <f t="shared" ref="B10:K10" si="6">ROUND(B9/(1-0.25345)-B9,0)</f>
        <v>552844</v>
      </c>
      <c r="C10" s="35"/>
      <c r="D10" s="90">
        <f t="shared" si="0"/>
        <v>552844</v>
      </c>
      <c r="E10" s="35">
        <f t="shared" si="6"/>
        <v>241918</v>
      </c>
      <c r="F10" s="38"/>
      <c r="G10" s="90">
        <f t="shared" si="1"/>
        <v>241918</v>
      </c>
      <c r="H10" s="35">
        <f t="shared" si="6"/>
        <v>-13711</v>
      </c>
      <c r="I10" s="35"/>
      <c r="J10" s="90">
        <f t="shared" si="2"/>
        <v>-13711</v>
      </c>
      <c r="K10" s="35">
        <f t="shared" si="6"/>
        <v>-4544</v>
      </c>
      <c r="L10" s="35"/>
      <c r="M10" s="90">
        <f t="shared" si="3"/>
        <v>-4544</v>
      </c>
      <c r="N10" s="93">
        <f t="shared" si="4"/>
        <v>776507</v>
      </c>
      <c r="O10" s="33"/>
      <c r="P10" s="33"/>
    </row>
    <row r="11" spans="1:16" ht="15.75" thickBot="1" x14ac:dyDescent="0.3">
      <c r="A11" s="33" t="s">
        <v>31</v>
      </c>
      <c r="B11" s="36">
        <f t="shared" ref="B11:N11" si="7">+B9+B10</f>
        <v>2181275</v>
      </c>
      <c r="C11" s="36">
        <f t="shared" si="7"/>
        <v>0</v>
      </c>
      <c r="D11" s="89">
        <f t="shared" si="7"/>
        <v>2181275</v>
      </c>
      <c r="E11" s="36">
        <f t="shared" si="7"/>
        <v>954499</v>
      </c>
      <c r="F11" s="36">
        <f t="shared" si="7"/>
        <v>0</v>
      </c>
      <c r="G11" s="89">
        <f t="shared" si="7"/>
        <v>954499</v>
      </c>
      <c r="H11" s="36">
        <f t="shared" si="7"/>
        <v>-54096</v>
      </c>
      <c r="I11" s="36">
        <f t="shared" si="7"/>
        <v>0</v>
      </c>
      <c r="J11" s="89">
        <f t="shared" si="7"/>
        <v>-54096</v>
      </c>
      <c r="K11" s="36">
        <f t="shared" si="7"/>
        <v>-17929</v>
      </c>
      <c r="L11" s="36">
        <f t="shared" si="7"/>
        <v>0</v>
      </c>
      <c r="M11" s="89">
        <f t="shared" si="7"/>
        <v>-17929</v>
      </c>
      <c r="N11" s="94">
        <f t="shared" si="7"/>
        <v>3063749</v>
      </c>
      <c r="O11" s="37">
        <f>+N11</f>
        <v>3063749</v>
      </c>
      <c r="P11" s="37" t="s">
        <v>25</v>
      </c>
    </row>
    <row r="12" spans="1:16" ht="15.75" thickTop="1" x14ac:dyDescent="0.25">
      <c r="A12" s="33"/>
      <c r="B12" s="35"/>
      <c r="C12" s="35"/>
      <c r="D12" s="88"/>
      <c r="E12" s="35"/>
      <c r="F12" s="35"/>
      <c r="G12" s="88"/>
      <c r="H12" s="35"/>
      <c r="I12" s="35"/>
      <c r="J12" s="88"/>
      <c r="K12" s="35"/>
      <c r="L12" s="35"/>
      <c r="M12" s="88"/>
      <c r="N12" s="95"/>
      <c r="O12" s="33"/>
      <c r="P12" s="33"/>
    </row>
    <row r="13" spans="1:16" x14ac:dyDescent="0.25">
      <c r="A13" s="33"/>
      <c r="B13" s="35"/>
      <c r="C13" s="35"/>
      <c r="D13" s="88"/>
      <c r="E13" s="35"/>
      <c r="F13" s="35"/>
      <c r="G13" s="88"/>
      <c r="H13" s="35"/>
      <c r="I13" s="35"/>
      <c r="J13" s="88"/>
      <c r="K13" s="35"/>
      <c r="L13" s="35"/>
      <c r="M13" s="88"/>
      <c r="N13" s="95"/>
      <c r="O13" s="33"/>
      <c r="P13" s="33"/>
    </row>
    <row r="14" spans="1:16" x14ac:dyDescent="0.25">
      <c r="A14" s="32" t="s">
        <v>32</v>
      </c>
      <c r="B14" s="35"/>
      <c r="C14" s="35"/>
      <c r="D14" s="88"/>
      <c r="E14" s="35"/>
      <c r="F14" s="35"/>
      <c r="G14" s="88"/>
      <c r="H14" s="35"/>
      <c r="I14" s="86"/>
      <c r="J14" s="88"/>
      <c r="K14" s="35"/>
      <c r="L14" s="35"/>
      <c r="M14" s="88"/>
      <c r="N14" s="95"/>
      <c r="O14" s="33"/>
      <c r="P14" s="33"/>
    </row>
    <row r="15" spans="1:16" x14ac:dyDescent="0.25">
      <c r="A15" s="33" t="s">
        <v>35</v>
      </c>
      <c r="B15" s="38">
        <v>21601595</v>
      </c>
      <c r="C15" s="38">
        <f>'Gas Reg Tax Liab'!H16*0.452</f>
        <v>198404.49600000001</v>
      </c>
      <c r="D15" s="90">
        <f>B15+C15</f>
        <v>21799999.495999999</v>
      </c>
      <c r="E15" s="38">
        <v>8714653</v>
      </c>
      <c r="F15" s="38">
        <f>'Gas Reg Tax Liab'!H16*0.174</f>
        <v>76376.95199999999</v>
      </c>
      <c r="G15" s="90">
        <f>E15+F15</f>
        <v>8791029.9519999996</v>
      </c>
      <c r="H15" s="38">
        <v>186581</v>
      </c>
      <c r="I15" s="38">
        <f>'Gas Reg Tax Liab'!H16*0.004</f>
        <v>1755.7920000000001</v>
      </c>
      <c r="J15" s="90">
        <f>H15+I15</f>
        <v>188336.79199999999</v>
      </c>
      <c r="K15" s="38">
        <v>53331</v>
      </c>
      <c r="L15" s="38">
        <f>'Gas Reg Tax Liab'!H16*0.002</f>
        <v>877.89600000000007</v>
      </c>
      <c r="M15" s="90">
        <f>K15+L15</f>
        <v>54208.896000000001</v>
      </c>
      <c r="N15" s="93">
        <f>M15+J15+G15+D15</f>
        <v>30833575.136</v>
      </c>
      <c r="O15" s="38">
        <f>N15/26</f>
        <v>1185906.736</v>
      </c>
      <c r="P15" s="33" t="s">
        <v>40</v>
      </c>
    </row>
    <row r="16" spans="1:16" x14ac:dyDescent="0.25">
      <c r="A16" s="33" t="s">
        <v>36</v>
      </c>
      <c r="B16" s="38">
        <v>6518569</v>
      </c>
      <c r="C16" s="38"/>
      <c r="D16" s="90">
        <f t="shared" ref="D16:D17" si="8">B16+C16</f>
        <v>6518569</v>
      </c>
      <c r="E16" s="38">
        <v>0</v>
      </c>
      <c r="F16" s="38"/>
      <c r="G16" s="90">
        <f t="shared" ref="G16:G17" si="9">E16+F16</f>
        <v>0</v>
      </c>
      <c r="H16" s="38">
        <v>0</v>
      </c>
      <c r="I16" s="38"/>
      <c r="J16" s="90">
        <f>H16+I16</f>
        <v>0</v>
      </c>
      <c r="K16" s="38">
        <v>0</v>
      </c>
      <c r="L16" s="38"/>
      <c r="M16" s="90">
        <f t="shared" ref="M16:M17" si="10">K16+L16</f>
        <v>0</v>
      </c>
      <c r="N16" s="93">
        <f t="shared" ref="N16:N17" si="11">M16+J16+G16+D16</f>
        <v>6518569</v>
      </c>
      <c r="O16" s="38">
        <v>298560</v>
      </c>
      <c r="P16" s="33" t="s">
        <v>41</v>
      </c>
    </row>
    <row r="17" spans="1:16" x14ac:dyDescent="0.25">
      <c r="A17" s="33" t="s">
        <v>37</v>
      </c>
      <c r="B17" s="38">
        <v>-2558387</v>
      </c>
      <c r="C17" s="38">
        <f>'Gas Reg Tax Liab'!H23*0.452</f>
        <v>-358492.95199999999</v>
      </c>
      <c r="D17" s="90">
        <f t="shared" si="8"/>
        <v>-2916879.952</v>
      </c>
      <c r="E17" s="38">
        <v>-239076</v>
      </c>
      <c r="F17" s="38">
        <f>'Gas Reg Tax Liab'!H23*0.174</f>
        <v>-138003.924</v>
      </c>
      <c r="G17" s="90">
        <f t="shared" si="9"/>
        <v>-377079.924</v>
      </c>
      <c r="H17" s="38">
        <v>29622</v>
      </c>
      <c r="I17" s="38">
        <f>'Gas Reg Tax Liab'!H23*0.004</f>
        <v>-3172.5039999999999</v>
      </c>
      <c r="J17" s="90">
        <f>H17+I17</f>
        <v>26449.495999999999</v>
      </c>
      <c r="K17" s="38">
        <v>39710</v>
      </c>
      <c r="L17" s="38">
        <f>'Gas Reg Tax Liab'!H23*0.002</f>
        <v>-1586.252</v>
      </c>
      <c r="M17" s="90">
        <f t="shared" si="10"/>
        <v>38123.748</v>
      </c>
      <c r="N17" s="93">
        <f t="shared" si="11"/>
        <v>-3229386.6320000002</v>
      </c>
      <c r="O17" s="38">
        <f>N17/10</f>
        <v>-322938.66320000001</v>
      </c>
      <c r="P17" s="33" t="s">
        <v>33</v>
      </c>
    </row>
    <row r="18" spans="1:16" ht="15.75" thickBot="1" x14ac:dyDescent="0.3">
      <c r="B18" s="39">
        <f>SUM(B15:B17)</f>
        <v>25561777</v>
      </c>
      <c r="C18" s="39">
        <f t="shared" ref="C18:D18" si="12">SUM(C15:C17)</f>
        <v>-160088.45599999998</v>
      </c>
      <c r="D18" s="91">
        <f t="shared" si="12"/>
        <v>25401688.544</v>
      </c>
      <c r="E18" s="39">
        <f t="shared" ref="E18:O18" si="13">SUM(E15:E17)</f>
        <v>8475577</v>
      </c>
      <c r="F18" s="39">
        <f t="shared" si="13"/>
        <v>-61626.972000000009</v>
      </c>
      <c r="G18" s="91">
        <f t="shared" si="13"/>
        <v>8413950.027999999</v>
      </c>
      <c r="H18" s="39">
        <f t="shared" si="13"/>
        <v>216203</v>
      </c>
      <c r="I18" s="39">
        <f t="shared" si="13"/>
        <v>-1416.7119999999998</v>
      </c>
      <c r="J18" s="91">
        <f t="shared" si="13"/>
        <v>214786.288</v>
      </c>
      <c r="K18" s="39">
        <f t="shared" si="13"/>
        <v>93041</v>
      </c>
      <c r="L18" s="39">
        <f t="shared" si="13"/>
        <v>-708.35599999999988</v>
      </c>
      <c r="M18" s="91">
        <f t="shared" si="13"/>
        <v>92332.644</v>
      </c>
      <c r="N18" s="96">
        <f t="shared" si="13"/>
        <v>34122757.504000001</v>
      </c>
      <c r="O18" s="39">
        <f t="shared" si="13"/>
        <v>1161528.0728</v>
      </c>
    </row>
    <row r="19" spans="1:16" ht="15.75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J31" sqref="J31"/>
    </sheetView>
  </sheetViews>
  <sheetFormatPr defaultRowHeight="15" x14ac:dyDescent="0.25"/>
  <cols>
    <col min="1" max="1" width="49.5703125" style="8" bestFit="1" customWidth="1"/>
    <col min="2" max="2" width="12.140625" style="8" customWidth="1"/>
    <col min="3" max="3" width="9.140625" style="8" bestFit="1" customWidth="1"/>
    <col min="4" max="4" width="9.85546875" style="8" bestFit="1" customWidth="1"/>
    <col min="5" max="7" width="9.28515625" style="3" bestFit="1" customWidth="1"/>
    <col min="8" max="8" width="10.42578125" style="3" bestFit="1" customWidth="1"/>
    <col min="9" max="9" width="9.140625" style="2"/>
    <col min="10" max="10" width="11" style="3" customWidth="1"/>
    <col min="11" max="11" width="11.42578125" style="3" customWidth="1"/>
  </cols>
  <sheetData>
    <row r="1" spans="1:11" ht="15.75" x14ac:dyDescent="0.25">
      <c r="A1" s="40" t="s">
        <v>42</v>
      </c>
      <c r="B1" s="33"/>
      <c r="C1" s="33"/>
      <c r="D1" s="1"/>
      <c r="E1" s="1"/>
      <c r="F1" s="32"/>
      <c r="G1" s="32" t="s">
        <v>38</v>
      </c>
      <c r="H1" s="32"/>
      <c r="I1" s="3"/>
    </row>
    <row r="2" spans="1:11" ht="15.75" x14ac:dyDescent="0.25">
      <c r="A2" s="40" t="s">
        <v>45</v>
      </c>
      <c r="B2" s="33"/>
      <c r="C2" s="33"/>
      <c r="D2" s="1"/>
      <c r="E2" s="1"/>
      <c r="F2" s="32"/>
      <c r="G2" s="32" t="s">
        <v>39</v>
      </c>
      <c r="H2" s="32"/>
      <c r="I2" s="3"/>
    </row>
    <row r="3" spans="1:11" ht="15.75" x14ac:dyDescent="0.25">
      <c r="A3" s="40" t="s">
        <v>43</v>
      </c>
      <c r="B3" s="33"/>
      <c r="C3" s="33"/>
      <c r="D3" s="1"/>
      <c r="E3" s="1"/>
      <c r="F3" s="33"/>
      <c r="G3" s="33"/>
      <c r="H3" s="33"/>
      <c r="I3" s="3"/>
    </row>
    <row r="8" spans="1:11" x14ac:dyDescent="0.25">
      <c r="A8" s="6"/>
      <c r="D8" s="15" t="s">
        <v>17</v>
      </c>
      <c r="E8" s="17" t="s">
        <v>18</v>
      </c>
      <c r="F8" s="17" t="s">
        <v>19</v>
      </c>
      <c r="G8" s="17" t="s">
        <v>20</v>
      </c>
      <c r="H8" s="17" t="s">
        <v>21</v>
      </c>
      <c r="I8" s="24" t="s">
        <v>22</v>
      </c>
      <c r="J8" s="17" t="s">
        <v>21</v>
      </c>
      <c r="K8" s="17" t="s">
        <v>2</v>
      </c>
    </row>
    <row r="9" spans="1:11" x14ac:dyDescent="0.25">
      <c r="A9" s="4"/>
      <c r="B9" s="41" t="s">
        <v>9</v>
      </c>
      <c r="C9" s="4"/>
      <c r="D9" s="14" t="s">
        <v>16</v>
      </c>
      <c r="E9" s="14" t="s">
        <v>16</v>
      </c>
      <c r="F9" s="14" t="s">
        <v>16</v>
      </c>
      <c r="G9" s="14" t="s">
        <v>16</v>
      </c>
      <c r="H9" s="14" t="s">
        <v>16</v>
      </c>
      <c r="I9" s="25" t="s">
        <v>23</v>
      </c>
      <c r="J9" s="23" t="s">
        <v>24</v>
      </c>
      <c r="K9" s="18"/>
    </row>
    <row r="10" spans="1:11" x14ac:dyDescent="0.25">
      <c r="A10" s="4"/>
      <c r="B10" s="41" t="s">
        <v>10</v>
      </c>
      <c r="C10" s="4"/>
      <c r="D10" s="14" t="s">
        <v>0</v>
      </c>
      <c r="E10" s="14" t="s">
        <v>0</v>
      </c>
      <c r="F10" s="14" t="s">
        <v>0</v>
      </c>
      <c r="G10" s="14" t="s">
        <v>0</v>
      </c>
      <c r="H10" s="14" t="s">
        <v>0</v>
      </c>
      <c r="I10" s="25"/>
      <c r="J10" s="23"/>
      <c r="K10" s="18"/>
    </row>
    <row r="11" spans="1:11" x14ac:dyDescent="0.25">
      <c r="A11" s="4"/>
      <c r="C11" s="4"/>
      <c r="D11" s="16" t="s">
        <v>1</v>
      </c>
      <c r="E11" s="16" t="s">
        <v>1</v>
      </c>
      <c r="F11" s="16" t="s">
        <v>1</v>
      </c>
      <c r="G11" s="16" t="s">
        <v>1</v>
      </c>
      <c r="H11" s="16" t="s">
        <v>1</v>
      </c>
      <c r="I11" s="25"/>
      <c r="J11" s="23"/>
      <c r="K11" s="18"/>
    </row>
    <row r="12" spans="1:11" x14ac:dyDescent="0.25">
      <c r="A12" s="4"/>
      <c r="B12" s="4"/>
      <c r="C12" s="4"/>
      <c r="D12" s="9"/>
      <c r="E12" s="18"/>
      <c r="F12" s="18"/>
      <c r="G12" s="18"/>
      <c r="H12" s="18"/>
      <c r="I12" s="26"/>
      <c r="J12" s="18"/>
      <c r="K12" s="18"/>
    </row>
    <row r="13" spans="1:11" x14ac:dyDescent="0.25">
      <c r="A13" s="13" t="s">
        <v>14</v>
      </c>
      <c r="B13" s="6"/>
      <c r="C13" s="7"/>
      <c r="D13" s="10"/>
    </row>
    <row r="14" spans="1:11" x14ac:dyDescent="0.25">
      <c r="A14" s="5" t="s">
        <v>7</v>
      </c>
      <c r="B14" s="5" t="s">
        <v>4</v>
      </c>
      <c r="C14" s="5" t="s">
        <v>6</v>
      </c>
      <c r="D14" s="9">
        <v>16126671</v>
      </c>
      <c r="E14" s="3">
        <v>6505924</v>
      </c>
      <c r="F14" s="3">
        <v>139292</v>
      </c>
      <c r="G14" s="3">
        <v>39814</v>
      </c>
      <c r="H14" s="18">
        <v>327697</v>
      </c>
      <c r="I14" s="2">
        <v>0.63200000000000001</v>
      </c>
      <c r="J14" s="3">
        <f t="shared" ref="J14:J15" si="0">H14*I14</f>
        <v>207104.50400000002</v>
      </c>
      <c r="K14" s="3">
        <f t="shared" ref="K14:K15" si="1">SUM(D14:G14)+J14</f>
        <v>23018805.504000001</v>
      </c>
    </row>
    <row r="15" spans="1:11" x14ac:dyDescent="0.25">
      <c r="A15" s="5" t="s">
        <v>7</v>
      </c>
      <c r="B15" s="5" t="s">
        <v>4</v>
      </c>
      <c r="C15" s="5" t="s">
        <v>6</v>
      </c>
      <c r="D15" s="9">
        <v>5474924</v>
      </c>
      <c r="E15" s="3">
        <v>2208729</v>
      </c>
      <c r="F15" s="3">
        <v>47289</v>
      </c>
      <c r="G15" s="3">
        <v>13517</v>
      </c>
      <c r="H15" s="18">
        <v>111251</v>
      </c>
      <c r="I15" s="2">
        <v>0.63200000000000001</v>
      </c>
      <c r="J15" s="3">
        <f t="shared" si="0"/>
        <v>70310.631999999998</v>
      </c>
      <c r="K15" s="3">
        <f t="shared" si="1"/>
        <v>7814769.6320000002</v>
      </c>
    </row>
    <row r="16" spans="1:11" x14ac:dyDescent="0.25">
      <c r="A16" s="5"/>
      <c r="B16" s="5"/>
      <c r="C16" s="5"/>
      <c r="D16" s="12">
        <f>D14+D15</f>
        <v>21601595</v>
      </c>
      <c r="E16" s="19">
        <f t="shared" ref="E16:K16" si="2">E14+E15</f>
        <v>8714653</v>
      </c>
      <c r="F16" s="19">
        <f t="shared" si="2"/>
        <v>186581</v>
      </c>
      <c r="G16" s="19">
        <f t="shared" si="2"/>
        <v>53331</v>
      </c>
      <c r="H16" s="19">
        <f t="shared" si="2"/>
        <v>438948</v>
      </c>
      <c r="I16" s="27"/>
      <c r="J16" s="19">
        <f t="shared" si="2"/>
        <v>277415.136</v>
      </c>
      <c r="K16" s="19">
        <f t="shared" si="2"/>
        <v>30833575.136</v>
      </c>
    </row>
    <row r="17" spans="1:11" x14ac:dyDescent="0.25">
      <c r="A17" s="5"/>
      <c r="B17" s="5"/>
      <c r="C17" s="5"/>
      <c r="D17" s="9"/>
      <c r="E17" s="20"/>
      <c r="F17" s="20"/>
      <c r="G17" s="20"/>
      <c r="H17" s="20"/>
      <c r="I17" s="28"/>
      <c r="J17" s="20"/>
      <c r="K17" s="20"/>
    </row>
    <row r="18" spans="1:11" x14ac:dyDescent="0.25">
      <c r="A18" s="13" t="s">
        <v>11</v>
      </c>
      <c r="B18" s="5"/>
      <c r="C18" s="5"/>
      <c r="D18" s="9"/>
    </row>
    <row r="19" spans="1:11" x14ac:dyDescent="0.25">
      <c r="A19" s="5" t="s">
        <v>12</v>
      </c>
      <c r="B19" s="5" t="s">
        <v>3</v>
      </c>
      <c r="C19" s="5" t="s">
        <v>5</v>
      </c>
      <c r="D19" s="9">
        <v>4866438</v>
      </c>
      <c r="J19" s="3">
        <f t="shared" ref="J19:J20" si="3">H19*I19</f>
        <v>0</v>
      </c>
      <c r="K19" s="3">
        <f t="shared" ref="K19:K20" si="4">SUM(D19:G19)+J19</f>
        <v>4866438</v>
      </c>
    </row>
    <row r="20" spans="1:11" x14ac:dyDescent="0.25">
      <c r="A20" s="5" t="s">
        <v>13</v>
      </c>
      <c r="B20" s="5" t="s">
        <v>3</v>
      </c>
      <c r="C20" s="5" t="s">
        <v>5</v>
      </c>
      <c r="D20" s="9">
        <v>1652131</v>
      </c>
      <c r="J20" s="3">
        <f t="shared" si="3"/>
        <v>0</v>
      </c>
      <c r="K20" s="3">
        <f t="shared" si="4"/>
        <v>1652131</v>
      </c>
    </row>
    <row r="21" spans="1:11" x14ac:dyDescent="0.25">
      <c r="A21" s="5"/>
      <c r="B21" s="5"/>
      <c r="C21" s="5"/>
      <c r="D21" s="12">
        <f>SUM(D19:D20)</f>
        <v>6518569</v>
      </c>
      <c r="E21" s="12">
        <f t="shared" ref="E21:K21" si="5">SUM(E19:E20)</f>
        <v>0</v>
      </c>
      <c r="F21" s="12">
        <f t="shared" si="5"/>
        <v>0</v>
      </c>
      <c r="G21" s="12">
        <f t="shared" si="5"/>
        <v>0</v>
      </c>
      <c r="H21" s="12">
        <f t="shared" si="5"/>
        <v>0</v>
      </c>
      <c r="I21" s="12">
        <f t="shared" si="5"/>
        <v>0</v>
      </c>
      <c r="J21" s="12">
        <f t="shared" si="5"/>
        <v>0</v>
      </c>
      <c r="K21" s="12">
        <f t="shared" si="5"/>
        <v>6518569</v>
      </c>
    </row>
    <row r="22" spans="1:11" x14ac:dyDescent="0.25">
      <c r="A22" s="5"/>
      <c r="B22" s="5"/>
      <c r="C22" s="5"/>
      <c r="D22" s="9"/>
    </row>
    <row r="23" spans="1:11" x14ac:dyDescent="0.25">
      <c r="A23" s="13" t="s">
        <v>15</v>
      </c>
      <c r="B23" s="5"/>
      <c r="C23" s="5"/>
      <c r="D23" s="12">
        <v>-2558387</v>
      </c>
      <c r="E23" s="12">
        <v>-239076</v>
      </c>
      <c r="F23" s="12">
        <v>29622</v>
      </c>
      <c r="G23" s="12">
        <v>39709</v>
      </c>
      <c r="H23" s="12">
        <v>-793126</v>
      </c>
      <c r="I23" s="27">
        <v>0.63200000000000001</v>
      </c>
      <c r="J23" s="19">
        <f>H23*I23</f>
        <v>-501255.63199999998</v>
      </c>
      <c r="K23" s="85">
        <f>SUM(D23:G23)+J23</f>
        <v>-3229387.6320000002</v>
      </c>
    </row>
    <row r="24" spans="1:11" x14ac:dyDescent="0.25">
      <c r="A24" s="5"/>
      <c r="B24" s="5"/>
      <c r="C24" s="5"/>
      <c r="D24" s="9"/>
      <c r="E24" s="21"/>
      <c r="F24" s="21"/>
      <c r="G24" s="21"/>
      <c r="H24" s="21"/>
      <c r="I24" s="29"/>
      <c r="J24" s="21"/>
      <c r="K24" s="21"/>
    </row>
    <row r="25" spans="1:11" x14ac:dyDescent="0.25">
      <c r="A25" s="4"/>
      <c r="B25" s="4"/>
      <c r="C25" s="4"/>
      <c r="D25" s="11"/>
      <c r="E25" s="22"/>
      <c r="F25" s="22"/>
      <c r="G25" s="22"/>
      <c r="H25" s="22"/>
      <c r="I25" s="30"/>
      <c r="J25" s="22"/>
      <c r="K25" s="22"/>
    </row>
    <row r="26" spans="1:11" ht="15.75" thickBot="1" x14ac:dyDescent="0.3">
      <c r="A26" s="6" t="s">
        <v>8</v>
      </c>
      <c r="B26" s="6"/>
      <c r="C26" s="7"/>
      <c r="D26" s="31">
        <f>D23+D21+D16</f>
        <v>25561777</v>
      </c>
      <c r="E26" s="31">
        <f>E23+E21+E16</f>
        <v>8475577</v>
      </c>
      <c r="F26" s="31">
        <f>F23+F21+F16</f>
        <v>216203</v>
      </c>
      <c r="G26" s="31">
        <f>G23+G21+G16</f>
        <v>93040</v>
      </c>
      <c r="H26" s="31">
        <f>H23+H21+H16</f>
        <v>-354178</v>
      </c>
      <c r="I26" s="31"/>
      <c r="J26" s="31">
        <f>J23+J21+J16</f>
        <v>-223840.49599999998</v>
      </c>
      <c r="K26" s="31">
        <f>K23+K21+K16</f>
        <v>34122756.504000001</v>
      </c>
    </row>
    <row r="27" spans="1:11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selection activeCell="L12" sqref="L12"/>
    </sheetView>
  </sheetViews>
  <sheetFormatPr defaultRowHeight="12.75" x14ac:dyDescent="0.2"/>
  <cols>
    <col min="1" max="1" width="43.28515625" style="45" bestFit="1" customWidth="1"/>
    <col min="2" max="2" width="14.85546875" style="45" bestFit="1" customWidth="1"/>
    <col min="3" max="3" width="2.85546875" style="45" customWidth="1"/>
    <col min="4" max="4" width="13" style="45" bestFit="1" customWidth="1"/>
    <col min="5" max="5" width="3.42578125" style="45" customWidth="1"/>
    <col min="6" max="6" width="14.85546875" style="45" bestFit="1" customWidth="1"/>
    <col min="7" max="7" width="3.85546875" style="45" customWidth="1"/>
    <col min="8" max="8" width="17.85546875" style="45" bestFit="1" customWidth="1"/>
    <col min="9" max="9" width="3.5703125" style="45" customWidth="1"/>
    <col min="10" max="10" width="17.28515625" style="45" bestFit="1" customWidth="1"/>
    <col min="11" max="11" width="2.85546875" style="45" customWidth="1"/>
    <col min="12" max="12" width="18.5703125" style="45" bestFit="1" customWidth="1"/>
    <col min="13" max="13" width="2.7109375" style="45" customWidth="1"/>
    <col min="14" max="14" width="7.140625" style="45" bestFit="1" customWidth="1"/>
    <col min="15" max="15" width="5.42578125" style="45" customWidth="1"/>
    <col min="16" max="16" width="7.140625" style="45" bestFit="1" customWidth="1"/>
    <col min="17" max="17" width="3.7109375" style="45" customWidth="1"/>
    <col min="18" max="18" width="15.42578125" style="45" bestFit="1" customWidth="1"/>
    <col min="19" max="19" width="3.5703125" style="45" customWidth="1"/>
    <col min="20" max="20" width="14.85546875" style="45" bestFit="1" customWidth="1"/>
    <col min="21" max="21" width="2.5703125" style="45" customWidth="1"/>
    <col min="22" max="22" width="14.42578125" style="45" bestFit="1" customWidth="1"/>
    <col min="23" max="16384" width="9.140625" style="45"/>
  </cols>
  <sheetData>
    <row r="1" spans="1:28" x14ac:dyDescent="0.2">
      <c r="A1" s="43" t="s">
        <v>42</v>
      </c>
      <c r="B1" s="44"/>
      <c r="C1" s="44"/>
      <c r="T1" s="43" t="s">
        <v>38</v>
      </c>
    </row>
    <row r="2" spans="1:28" x14ac:dyDescent="0.2">
      <c r="A2" s="43" t="s">
        <v>88</v>
      </c>
      <c r="B2" s="44"/>
      <c r="C2" s="44"/>
      <c r="T2" s="43" t="s">
        <v>39</v>
      </c>
    </row>
    <row r="3" spans="1:28" x14ac:dyDescent="0.2">
      <c r="A3" s="43" t="s">
        <v>43</v>
      </c>
      <c r="B3" s="44"/>
      <c r="C3" s="44"/>
      <c r="D3" s="44"/>
    </row>
    <row r="5" spans="1:28" x14ac:dyDescent="0.2">
      <c r="B5" s="46" t="s">
        <v>46</v>
      </c>
      <c r="C5" s="47"/>
      <c r="D5" s="46" t="s">
        <v>47</v>
      </c>
      <c r="E5" s="47"/>
      <c r="F5" s="46" t="s">
        <v>48</v>
      </c>
      <c r="G5" s="47"/>
      <c r="H5" s="46" t="s">
        <v>49</v>
      </c>
      <c r="I5" s="47"/>
      <c r="J5" s="46" t="s">
        <v>50</v>
      </c>
      <c r="K5" s="47"/>
      <c r="L5" s="46" t="s">
        <v>51</v>
      </c>
      <c r="M5" s="47"/>
      <c r="N5" s="46" t="s">
        <v>52</v>
      </c>
      <c r="O5" s="47"/>
      <c r="P5" s="46" t="s">
        <v>53</v>
      </c>
      <c r="Q5" s="47"/>
      <c r="R5" s="46" t="s">
        <v>54</v>
      </c>
      <c r="S5" s="47"/>
      <c r="T5" s="46" t="s">
        <v>55</v>
      </c>
      <c r="U5" s="47"/>
      <c r="V5" s="46" t="s">
        <v>56</v>
      </c>
      <c r="W5" s="47"/>
      <c r="X5" s="47"/>
    </row>
    <row r="6" spans="1:28" x14ac:dyDescent="0.2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 t="s">
        <v>57</v>
      </c>
      <c r="S6" s="48"/>
      <c r="T6" s="48" t="s">
        <v>58</v>
      </c>
      <c r="U6" s="48"/>
      <c r="V6" s="48" t="s">
        <v>59</v>
      </c>
      <c r="W6" s="47"/>
      <c r="X6" s="47"/>
    </row>
    <row r="7" spans="1:28" x14ac:dyDescent="0.2">
      <c r="B7" s="48" t="s">
        <v>60</v>
      </c>
      <c r="C7" s="48"/>
      <c r="D7" s="48" t="s">
        <v>61</v>
      </c>
      <c r="E7" s="48"/>
      <c r="F7" s="48" t="s">
        <v>62</v>
      </c>
      <c r="G7" s="48"/>
      <c r="H7" s="48" t="s">
        <v>63</v>
      </c>
      <c r="I7" s="48"/>
      <c r="J7" s="48" t="s">
        <v>64</v>
      </c>
      <c r="K7" s="48"/>
      <c r="L7" s="48" t="s">
        <v>65</v>
      </c>
      <c r="M7" s="48"/>
      <c r="N7" s="48" t="s">
        <v>66</v>
      </c>
      <c r="O7" s="48"/>
      <c r="P7" s="48" t="s">
        <v>67</v>
      </c>
      <c r="Q7" s="48"/>
      <c r="R7" s="48" t="s">
        <v>68</v>
      </c>
      <c r="S7" s="48"/>
      <c r="T7" s="48" t="s">
        <v>60</v>
      </c>
      <c r="U7" s="48"/>
      <c r="V7" s="48" t="s">
        <v>60</v>
      </c>
      <c r="W7" s="47"/>
      <c r="X7" s="47"/>
    </row>
    <row r="8" spans="1:28" x14ac:dyDescent="0.2">
      <c r="B8" s="49" t="s">
        <v>69</v>
      </c>
      <c r="C8" s="48"/>
      <c r="D8" s="49" t="s">
        <v>70</v>
      </c>
      <c r="E8" s="48"/>
      <c r="F8" s="49" t="s">
        <v>71</v>
      </c>
      <c r="G8" s="48"/>
      <c r="H8" s="49" t="s">
        <v>72</v>
      </c>
      <c r="I8" s="48"/>
      <c r="J8" s="49" t="s">
        <v>73</v>
      </c>
      <c r="K8" s="48"/>
      <c r="L8" s="49" t="s">
        <v>74</v>
      </c>
      <c r="M8" s="48"/>
      <c r="N8" s="49" t="s">
        <v>75</v>
      </c>
      <c r="O8" s="48"/>
      <c r="P8" s="49" t="s">
        <v>75</v>
      </c>
      <c r="Q8" s="48"/>
      <c r="R8" s="49" t="s">
        <v>76</v>
      </c>
      <c r="S8" s="48"/>
      <c r="T8" s="49" t="s">
        <v>77</v>
      </c>
      <c r="U8" s="48"/>
      <c r="V8" s="49" t="s">
        <v>78</v>
      </c>
      <c r="W8" s="47"/>
      <c r="X8" s="47"/>
    </row>
    <row r="10" spans="1:28" s="47" customFormat="1" x14ac:dyDescent="0.2">
      <c r="A10" s="47" t="s">
        <v>80</v>
      </c>
      <c r="B10" s="51">
        <v>54012984</v>
      </c>
      <c r="C10" s="51"/>
      <c r="D10" s="51">
        <v>0</v>
      </c>
      <c r="E10" s="51"/>
      <c r="F10" s="51">
        <v>24755361</v>
      </c>
      <c r="G10" s="51"/>
      <c r="H10" s="51">
        <v>10152430.865904</v>
      </c>
      <c r="I10" s="51"/>
      <c r="J10" s="51">
        <v>3301241.5492472826</v>
      </c>
      <c r="K10" s="51"/>
      <c r="L10" s="51">
        <v>5163603</v>
      </c>
      <c r="M10" s="51"/>
      <c r="N10" s="51">
        <v>0</v>
      </c>
      <c r="O10" s="51"/>
      <c r="P10" s="51">
        <v>0</v>
      </c>
      <c r="Q10" s="51"/>
      <c r="R10" s="51">
        <v>0</v>
      </c>
      <c r="S10" s="51"/>
      <c r="T10" s="51">
        <f>SUM(D10:R10)</f>
        <v>43372636.415151283</v>
      </c>
      <c r="U10" s="51"/>
      <c r="V10" s="51">
        <f>B10-T10</f>
        <v>10640347.584848717</v>
      </c>
      <c r="W10" s="50"/>
      <c r="X10" s="50"/>
      <c r="Y10" s="50"/>
      <c r="Z10" s="50"/>
      <c r="AA10" s="50"/>
      <c r="AB10" s="50"/>
    </row>
    <row r="11" spans="1:28" s="47" customFormat="1" x14ac:dyDescent="0.2">
      <c r="A11" s="47" t="s">
        <v>81</v>
      </c>
      <c r="B11" s="51">
        <v>54012984</v>
      </c>
      <c r="C11" s="51"/>
      <c r="D11" s="51">
        <v>0</v>
      </c>
      <c r="E11" s="51"/>
      <c r="F11" s="51">
        <v>24755361</v>
      </c>
      <c r="G11" s="51"/>
      <c r="H11" s="51">
        <v>10152430.865904</v>
      </c>
      <c r="I11" s="51"/>
      <c r="J11" s="51">
        <v>3301241.5492472826</v>
      </c>
      <c r="K11" s="51"/>
      <c r="L11" s="51">
        <v>3535172</v>
      </c>
      <c r="M11" s="51"/>
      <c r="N11" s="51">
        <v>0</v>
      </c>
      <c r="O11" s="51"/>
      <c r="P11" s="51">
        <v>0</v>
      </c>
      <c r="Q11" s="51"/>
      <c r="R11" s="51">
        <v>0</v>
      </c>
      <c r="S11" s="51"/>
      <c r="T11" s="51">
        <f>SUM(D11:R11)</f>
        <v>41744205.415151283</v>
      </c>
      <c r="U11" s="51"/>
      <c r="V11" s="51">
        <f>B11-T11</f>
        <v>12268778.584848717</v>
      </c>
      <c r="W11" s="50"/>
      <c r="X11" s="50"/>
      <c r="Y11" s="50"/>
      <c r="Z11" s="50"/>
      <c r="AA11" s="50"/>
      <c r="AB11" s="50"/>
    </row>
    <row r="12" spans="1:28" ht="13.5" thickBot="1" x14ac:dyDescent="0.25">
      <c r="A12" s="45" t="s">
        <v>79</v>
      </c>
      <c r="B12" s="52">
        <f>B10-B11</f>
        <v>0</v>
      </c>
      <c r="C12" s="53"/>
      <c r="D12" s="52">
        <f>D10-D11</f>
        <v>0</v>
      </c>
      <c r="E12" s="53"/>
      <c r="F12" s="52">
        <f>F10-F11</f>
        <v>0</v>
      </c>
      <c r="G12" s="53"/>
      <c r="H12" s="52">
        <f>H10-H11</f>
        <v>0</v>
      </c>
      <c r="I12" s="53"/>
      <c r="J12" s="52">
        <f>J10-J11</f>
        <v>0</v>
      </c>
      <c r="K12" s="53"/>
      <c r="L12" s="52">
        <f>L10-L11</f>
        <v>1628431</v>
      </c>
      <c r="M12" s="53"/>
      <c r="N12" s="52">
        <f>N10-N11</f>
        <v>0</v>
      </c>
      <c r="O12" s="53"/>
      <c r="P12" s="52">
        <f>P10-P11</f>
        <v>0</v>
      </c>
      <c r="Q12" s="53"/>
      <c r="R12" s="52">
        <f>R10-R11</f>
        <v>0</v>
      </c>
      <c r="S12" s="53"/>
      <c r="T12" s="52">
        <f>T10-T11</f>
        <v>1628431</v>
      </c>
      <c r="U12" s="53"/>
      <c r="V12" s="52">
        <f>V10-V11</f>
        <v>-1628431</v>
      </c>
    </row>
    <row r="13" spans="1:28" ht="13.5" thickTop="1" x14ac:dyDescent="0.2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</row>
    <row r="14" spans="1:28" x14ac:dyDescent="0.2">
      <c r="A14" s="47" t="s">
        <v>82</v>
      </c>
      <c r="B14" s="51">
        <v>20092656.348203693</v>
      </c>
      <c r="C14" s="51"/>
      <c r="D14" s="51">
        <v>0</v>
      </c>
      <c r="E14" s="51"/>
      <c r="F14" s="51">
        <v>9156640.2709999997</v>
      </c>
      <c r="G14" s="51"/>
      <c r="H14" s="51">
        <v>3115997.6955313999</v>
      </c>
      <c r="I14" s="51"/>
      <c r="J14" s="51">
        <v>1296801.2999587974</v>
      </c>
      <c r="K14" s="51"/>
      <c r="L14" s="51">
        <v>2077689</v>
      </c>
      <c r="M14" s="51"/>
      <c r="N14" s="51">
        <v>0</v>
      </c>
      <c r="O14" s="51"/>
      <c r="P14" s="51">
        <v>0</v>
      </c>
      <c r="Q14" s="51"/>
      <c r="R14" s="51">
        <v>0</v>
      </c>
      <c r="S14" s="51"/>
      <c r="T14" s="51">
        <f>SUM(D14:R14)</f>
        <v>15647128.266490197</v>
      </c>
      <c r="U14" s="51"/>
      <c r="V14" s="51">
        <f>B14-T14</f>
        <v>4445528.0817134958</v>
      </c>
    </row>
    <row r="15" spans="1:28" x14ac:dyDescent="0.2">
      <c r="A15" s="47" t="s">
        <v>83</v>
      </c>
      <c r="B15" s="51">
        <v>20092656.348203693</v>
      </c>
      <c r="C15" s="51"/>
      <c r="D15" s="51">
        <v>0</v>
      </c>
      <c r="E15" s="51"/>
      <c r="F15" s="51">
        <v>9156640.2709999997</v>
      </c>
      <c r="G15" s="51"/>
      <c r="H15" s="51">
        <v>3115997.6955313999</v>
      </c>
      <c r="I15" s="51"/>
      <c r="J15" s="51">
        <v>1296801.2999587974</v>
      </c>
      <c r="K15" s="51"/>
      <c r="L15" s="51">
        <v>1365108</v>
      </c>
      <c r="M15" s="51"/>
      <c r="N15" s="51">
        <v>0</v>
      </c>
      <c r="O15" s="51"/>
      <c r="P15" s="51">
        <v>0</v>
      </c>
      <c r="Q15" s="51"/>
      <c r="R15" s="51">
        <v>0</v>
      </c>
      <c r="S15" s="51"/>
      <c r="T15" s="51">
        <f>SUM(D15:R15)</f>
        <v>14934547.266490197</v>
      </c>
      <c r="U15" s="51"/>
      <c r="V15" s="51">
        <f>B15-T15</f>
        <v>5158109.0817134958</v>
      </c>
    </row>
    <row r="16" spans="1:28" ht="13.5" thickBot="1" x14ac:dyDescent="0.25">
      <c r="A16" s="45" t="s">
        <v>79</v>
      </c>
      <c r="B16" s="52">
        <f>B14-B15</f>
        <v>0</v>
      </c>
      <c r="C16" s="53"/>
      <c r="D16" s="52">
        <f>D14-D15</f>
        <v>0</v>
      </c>
      <c r="E16" s="53"/>
      <c r="F16" s="52">
        <f>F14-F15</f>
        <v>0</v>
      </c>
      <c r="G16" s="53"/>
      <c r="H16" s="52">
        <f>H14-H15</f>
        <v>0</v>
      </c>
      <c r="I16" s="53"/>
      <c r="J16" s="52">
        <f>J14-J15</f>
        <v>0</v>
      </c>
      <c r="K16" s="53"/>
      <c r="L16" s="52">
        <f>L14-L15</f>
        <v>712581</v>
      </c>
      <c r="M16" s="53"/>
      <c r="N16" s="52">
        <f>N14-N15</f>
        <v>0</v>
      </c>
      <c r="O16" s="53"/>
      <c r="P16" s="52">
        <f>P14-P15</f>
        <v>0</v>
      </c>
      <c r="Q16" s="53"/>
      <c r="R16" s="52">
        <f>R14-R15</f>
        <v>0</v>
      </c>
      <c r="S16" s="53"/>
      <c r="T16" s="52">
        <f>T14-T15</f>
        <v>712581</v>
      </c>
      <c r="U16" s="53"/>
      <c r="V16" s="52">
        <f>V14-V15</f>
        <v>-712581</v>
      </c>
    </row>
    <row r="17" spans="1:22" ht="13.5" thickTop="1" x14ac:dyDescent="0.2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</row>
    <row r="18" spans="1:22" x14ac:dyDescent="0.2">
      <c r="A18" s="47" t="s">
        <v>84</v>
      </c>
      <c r="B18" s="51">
        <v>174638</v>
      </c>
      <c r="C18" s="51"/>
      <c r="D18" s="51">
        <v>0</v>
      </c>
      <c r="E18" s="51"/>
      <c r="F18" s="51">
        <v>278871</v>
      </c>
      <c r="G18" s="51"/>
      <c r="H18" s="51">
        <v>140259</v>
      </c>
      <c r="I18" s="51"/>
      <c r="J18" s="51">
        <v>29753.763847449227</v>
      </c>
      <c r="K18" s="51"/>
      <c r="L18" s="51">
        <v>-117752</v>
      </c>
      <c r="M18" s="51"/>
      <c r="N18" s="51">
        <v>0</v>
      </c>
      <c r="O18" s="51"/>
      <c r="P18" s="51">
        <v>0</v>
      </c>
      <c r="Q18" s="51"/>
      <c r="R18" s="51">
        <v>0</v>
      </c>
      <c r="S18" s="51"/>
      <c r="T18" s="51">
        <f>SUM(D18:R18)</f>
        <v>331131.76384744921</v>
      </c>
      <c r="U18" s="51"/>
      <c r="V18" s="51">
        <f>B18-T18</f>
        <v>-156493.76384744921</v>
      </c>
    </row>
    <row r="19" spans="1:22" x14ac:dyDescent="0.2">
      <c r="A19" s="47" t="s">
        <v>85</v>
      </c>
      <c r="B19" s="51">
        <v>174638</v>
      </c>
      <c r="C19" s="51"/>
      <c r="D19" s="51">
        <v>0</v>
      </c>
      <c r="E19" s="51"/>
      <c r="F19" s="51">
        <v>278871</v>
      </c>
      <c r="G19" s="51"/>
      <c r="H19" s="51">
        <v>140259</v>
      </c>
      <c r="I19" s="51"/>
      <c r="J19" s="51">
        <v>29753.763847449227</v>
      </c>
      <c r="K19" s="51"/>
      <c r="L19" s="51">
        <v>-77366</v>
      </c>
      <c r="M19" s="51"/>
      <c r="N19" s="51">
        <v>0</v>
      </c>
      <c r="O19" s="51"/>
      <c r="P19" s="51">
        <v>0</v>
      </c>
      <c r="Q19" s="51"/>
      <c r="R19" s="51">
        <v>0</v>
      </c>
      <c r="S19" s="51"/>
      <c r="T19" s="51">
        <f>SUM(D19:R19)</f>
        <v>371517.76384744921</v>
      </c>
      <c r="U19" s="51"/>
      <c r="V19" s="51">
        <f>B19-T19</f>
        <v>-196879.76384744921</v>
      </c>
    </row>
    <row r="20" spans="1:22" ht="13.5" thickBot="1" x14ac:dyDescent="0.25">
      <c r="A20" s="45" t="s">
        <v>79</v>
      </c>
      <c r="B20" s="52">
        <f>B18-B19</f>
        <v>0</v>
      </c>
      <c r="C20" s="53"/>
      <c r="D20" s="52">
        <f>D18-D19</f>
        <v>0</v>
      </c>
      <c r="E20" s="53"/>
      <c r="F20" s="52">
        <f>F18-F19</f>
        <v>0</v>
      </c>
      <c r="G20" s="53"/>
      <c r="H20" s="52">
        <f>H18-H19</f>
        <v>0</v>
      </c>
      <c r="I20" s="53"/>
      <c r="J20" s="52">
        <f>J18-J19</f>
        <v>0</v>
      </c>
      <c r="K20" s="53"/>
      <c r="L20" s="52">
        <f>L18-L19</f>
        <v>-40386</v>
      </c>
      <c r="M20" s="53"/>
      <c r="N20" s="52">
        <f>N18-N19</f>
        <v>0</v>
      </c>
      <c r="O20" s="53"/>
      <c r="P20" s="52">
        <f>P18-P19</f>
        <v>0</v>
      </c>
      <c r="Q20" s="53"/>
      <c r="R20" s="52">
        <f>R18-R19</f>
        <v>0</v>
      </c>
      <c r="S20" s="53"/>
      <c r="T20" s="52">
        <f>T18-T19</f>
        <v>-40386</v>
      </c>
      <c r="U20" s="53"/>
      <c r="V20" s="52">
        <f>V18-V19</f>
        <v>40386</v>
      </c>
    </row>
    <row r="21" spans="1:22" ht="13.5" thickTop="1" x14ac:dyDescent="0.2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x14ac:dyDescent="0.2">
      <c r="A22" s="47" t="s">
        <v>86</v>
      </c>
      <c r="B22" s="51">
        <v>188976</v>
      </c>
      <c r="C22" s="51"/>
      <c r="D22" s="51">
        <v>0</v>
      </c>
      <c r="E22" s="51"/>
      <c r="F22" s="51">
        <v>189378</v>
      </c>
      <c r="G22" s="51"/>
      <c r="H22" s="51">
        <v>34890.411833333332</v>
      </c>
      <c r="I22" s="51"/>
      <c r="J22" s="51">
        <v>54672.609026596219</v>
      </c>
      <c r="K22" s="51"/>
      <c r="L22" s="51">
        <v>-39024</v>
      </c>
      <c r="M22" s="51"/>
      <c r="N22" s="51">
        <v>0</v>
      </c>
      <c r="O22" s="51"/>
      <c r="P22" s="51">
        <v>0</v>
      </c>
      <c r="Q22" s="51"/>
      <c r="R22" s="51">
        <v>0</v>
      </c>
      <c r="S22" s="51"/>
      <c r="T22" s="51">
        <f>SUM(D22:R22)</f>
        <v>239917.02085992956</v>
      </c>
      <c r="U22" s="51"/>
      <c r="V22" s="51">
        <f>B22-T22</f>
        <v>-50941.020859929558</v>
      </c>
    </row>
    <row r="23" spans="1:22" x14ac:dyDescent="0.2">
      <c r="A23" s="47" t="s">
        <v>87</v>
      </c>
      <c r="B23" s="51">
        <v>188976</v>
      </c>
      <c r="C23" s="51"/>
      <c r="D23" s="51">
        <v>0</v>
      </c>
      <c r="E23" s="51"/>
      <c r="F23" s="51">
        <v>189378</v>
      </c>
      <c r="G23" s="51"/>
      <c r="H23" s="51">
        <v>34890</v>
      </c>
      <c r="I23" s="51"/>
      <c r="J23" s="51">
        <v>54673</v>
      </c>
      <c r="K23" s="51"/>
      <c r="L23" s="51">
        <v>-25639</v>
      </c>
      <c r="M23" s="51"/>
      <c r="N23" s="51">
        <v>0</v>
      </c>
      <c r="O23" s="51"/>
      <c r="P23" s="51">
        <v>0</v>
      </c>
      <c r="Q23" s="51"/>
      <c r="R23" s="51">
        <v>0</v>
      </c>
      <c r="S23" s="51"/>
      <c r="T23" s="51">
        <f>SUM(D23:R23)</f>
        <v>253302</v>
      </c>
      <c r="U23" s="51"/>
      <c r="V23" s="51">
        <f>B23-T23</f>
        <v>-64326</v>
      </c>
    </row>
    <row r="24" spans="1:22" ht="13.5" thickBot="1" x14ac:dyDescent="0.25">
      <c r="B24" s="52">
        <f>B22-B23</f>
        <v>0</v>
      </c>
      <c r="C24" s="53"/>
      <c r="D24" s="52">
        <f>D22-D23</f>
        <v>0</v>
      </c>
      <c r="E24" s="53"/>
      <c r="F24" s="52">
        <f>F22-F23</f>
        <v>0</v>
      </c>
      <c r="G24" s="53"/>
      <c r="H24" s="52">
        <f>H22-H23</f>
        <v>0.41183333333174232</v>
      </c>
      <c r="I24" s="53"/>
      <c r="J24" s="52">
        <f>J22-J23</f>
        <v>-0.39097340378066292</v>
      </c>
      <c r="K24" s="53"/>
      <c r="L24" s="52">
        <f>L22-L23</f>
        <v>-13385</v>
      </c>
      <c r="M24" s="53"/>
      <c r="N24" s="52">
        <f>N22-N23</f>
        <v>0</v>
      </c>
      <c r="O24" s="53"/>
      <c r="P24" s="52">
        <f>P22-P23</f>
        <v>0</v>
      </c>
      <c r="Q24" s="53"/>
      <c r="R24" s="52">
        <f>R22-R23</f>
        <v>0</v>
      </c>
      <c r="S24" s="53"/>
      <c r="T24" s="52">
        <f>T22-T23</f>
        <v>-13384.979140070442</v>
      </c>
      <c r="U24" s="53"/>
      <c r="V24" s="52">
        <f>V22-V23</f>
        <v>13384.979140070442</v>
      </c>
    </row>
    <row r="25" spans="1:22" ht="13.5" thickTop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3" workbookViewId="0">
      <selection activeCell="L44" sqref="L44"/>
    </sheetView>
  </sheetViews>
  <sheetFormatPr defaultRowHeight="11.25" x14ac:dyDescent="0.2"/>
  <cols>
    <col min="1" max="2" width="9.140625" style="42"/>
    <col min="3" max="3" width="14.5703125" style="42" customWidth="1"/>
    <col min="4" max="4" width="13.85546875" style="42" customWidth="1"/>
    <col min="5" max="5" width="10.85546875" style="42" customWidth="1"/>
    <col min="6" max="6" width="9.140625" style="42"/>
    <col min="7" max="7" width="13.85546875" style="42" customWidth="1"/>
    <col min="8" max="8" width="10.85546875" style="42" customWidth="1"/>
    <col min="9" max="16384" width="9.140625" style="42"/>
  </cols>
  <sheetData>
    <row r="1" spans="1:9" ht="12.75" x14ac:dyDescent="0.2">
      <c r="A1" s="43" t="s">
        <v>42</v>
      </c>
      <c r="G1" s="43" t="s">
        <v>38</v>
      </c>
      <c r="H1" s="45"/>
      <c r="I1" s="45"/>
    </row>
    <row r="2" spans="1:9" ht="12.75" x14ac:dyDescent="0.2">
      <c r="A2" s="43" t="s">
        <v>113</v>
      </c>
      <c r="G2" s="43" t="s">
        <v>39</v>
      </c>
      <c r="H2" s="45"/>
      <c r="I2" s="45"/>
    </row>
    <row r="3" spans="1:9" ht="12.75" x14ac:dyDescent="0.2">
      <c r="A3" s="43" t="s">
        <v>43</v>
      </c>
    </row>
    <row r="6" spans="1:9" x14ac:dyDescent="0.2">
      <c r="D6" s="55" t="s">
        <v>89</v>
      </c>
      <c r="G6" s="55" t="s">
        <v>89</v>
      </c>
    </row>
    <row r="7" spans="1:9" x14ac:dyDescent="0.2">
      <c r="D7" s="55" t="s">
        <v>90</v>
      </c>
      <c r="G7" s="55" t="s">
        <v>90</v>
      </c>
    </row>
    <row r="8" spans="1:9" x14ac:dyDescent="0.2">
      <c r="D8" s="56" t="s">
        <v>111</v>
      </c>
      <c r="G8" s="56" t="s">
        <v>112</v>
      </c>
    </row>
    <row r="10" spans="1:9" x14ac:dyDescent="0.2">
      <c r="A10" s="42" t="s">
        <v>91</v>
      </c>
      <c r="D10" s="57">
        <v>234585154</v>
      </c>
      <c r="G10" s="60">
        <f>D10</f>
        <v>234585154</v>
      </c>
    </row>
    <row r="12" spans="1:9" x14ac:dyDescent="0.2">
      <c r="A12" s="42" t="s">
        <v>92</v>
      </c>
      <c r="D12" s="57">
        <v>1876681</v>
      </c>
      <c r="E12" s="58">
        <v>8.0000000000000002E-3</v>
      </c>
      <c r="G12" s="57">
        <f>D12</f>
        <v>1876681</v>
      </c>
      <c r="H12" s="58">
        <f>E12</f>
        <v>8.0000000000000002E-3</v>
      </c>
    </row>
    <row r="13" spans="1:9" x14ac:dyDescent="0.2">
      <c r="A13" s="42" t="s">
        <v>93</v>
      </c>
      <c r="D13" s="57">
        <v>774131</v>
      </c>
      <c r="E13" s="58">
        <v>3.3E-3</v>
      </c>
      <c r="G13" s="57">
        <f t="shared" ref="G13:G17" si="0">D13</f>
        <v>774131</v>
      </c>
      <c r="H13" s="58">
        <f t="shared" ref="H13:H17" si="1">E13</f>
        <v>3.3E-3</v>
      </c>
    </row>
    <row r="14" spans="1:9" x14ac:dyDescent="0.2">
      <c r="A14" s="42" t="s">
        <v>94</v>
      </c>
      <c r="D14" s="57">
        <v>656838</v>
      </c>
      <c r="E14" s="58">
        <v>2.8E-3</v>
      </c>
      <c r="G14" s="57">
        <f t="shared" si="0"/>
        <v>656838</v>
      </c>
      <c r="H14" s="58">
        <f t="shared" si="1"/>
        <v>2.8E-3</v>
      </c>
    </row>
    <row r="15" spans="1:9" x14ac:dyDescent="0.2">
      <c r="A15" s="42" t="s">
        <v>95</v>
      </c>
      <c r="D15" s="57">
        <v>0</v>
      </c>
      <c r="E15" s="58">
        <v>0</v>
      </c>
      <c r="G15" s="57">
        <f t="shared" si="0"/>
        <v>0</v>
      </c>
      <c r="H15" s="58">
        <f t="shared" si="1"/>
        <v>0</v>
      </c>
    </row>
    <row r="16" spans="1:9" x14ac:dyDescent="0.2">
      <c r="A16" s="42" t="s">
        <v>96</v>
      </c>
      <c r="D16" s="57">
        <v>187668</v>
      </c>
      <c r="E16" s="58">
        <v>8.0000000000000004E-4</v>
      </c>
      <c r="G16" s="57">
        <f t="shared" si="0"/>
        <v>187668</v>
      </c>
      <c r="H16" s="58">
        <f t="shared" si="1"/>
        <v>8.0000000000000004E-4</v>
      </c>
    </row>
    <row r="17" spans="1:8" x14ac:dyDescent="0.2">
      <c r="D17" s="42">
        <v>0</v>
      </c>
      <c r="E17" s="42">
        <v>0</v>
      </c>
      <c r="G17" s="57">
        <f t="shared" si="0"/>
        <v>0</v>
      </c>
      <c r="H17" s="58">
        <f t="shared" si="1"/>
        <v>0</v>
      </c>
    </row>
    <row r="18" spans="1:8" x14ac:dyDescent="0.2">
      <c r="A18" s="42" t="s">
        <v>97</v>
      </c>
      <c r="D18" s="59">
        <f>SUM(D12:D17)</f>
        <v>3495318</v>
      </c>
      <c r="G18" s="59">
        <f>SUM(G12:G17)</f>
        <v>3495318</v>
      </c>
    </row>
    <row r="21" spans="1:8" x14ac:dyDescent="0.2">
      <c r="A21" s="42" t="s">
        <v>98</v>
      </c>
      <c r="D21" s="60">
        <v>3685555</v>
      </c>
      <c r="G21" s="60">
        <f>D21</f>
        <v>3685555</v>
      </c>
    </row>
    <row r="22" spans="1:8" x14ac:dyDescent="0.2">
      <c r="D22" s="60"/>
      <c r="G22" s="60"/>
    </row>
    <row r="23" spans="1:8" x14ac:dyDescent="0.2">
      <c r="A23" s="42" t="s">
        <v>99</v>
      </c>
      <c r="D23" s="60">
        <f>+D21-D18</f>
        <v>190237</v>
      </c>
      <c r="G23" s="60">
        <f>+G21-G18</f>
        <v>190237</v>
      </c>
    </row>
    <row r="24" spans="1:8" x14ac:dyDescent="0.2">
      <c r="A24" s="42" t="s">
        <v>100</v>
      </c>
      <c r="D24" s="42">
        <v>0.38574999999999998</v>
      </c>
      <c r="G24" s="42">
        <v>0.25345000000000001</v>
      </c>
    </row>
    <row r="26" spans="1:8" ht="12" thickBot="1" x14ac:dyDescent="0.25">
      <c r="A26" s="42" t="s">
        <v>101</v>
      </c>
      <c r="D26" s="61">
        <f>+D23*D24</f>
        <v>73383.922749999998</v>
      </c>
      <c r="G26" s="61">
        <f>+G23*G24</f>
        <v>48215.567650000005</v>
      </c>
    </row>
    <row r="27" spans="1:8" ht="12" thickTop="1" x14ac:dyDescent="0.2"/>
    <row r="30" spans="1:8" ht="12" x14ac:dyDescent="0.2">
      <c r="A30" s="54" t="s">
        <v>102</v>
      </c>
      <c r="B30" s="62"/>
      <c r="C30" s="63"/>
    </row>
    <row r="31" spans="1:8" x14ac:dyDescent="0.2">
      <c r="B31" s="63"/>
      <c r="C31" s="63"/>
    </row>
    <row r="32" spans="1:8" x14ac:dyDescent="0.2">
      <c r="B32" s="63"/>
      <c r="C32" s="64"/>
    </row>
    <row r="33" spans="1:8" x14ac:dyDescent="0.2">
      <c r="A33" s="42" t="s">
        <v>103</v>
      </c>
      <c r="B33" s="63"/>
      <c r="C33" s="63"/>
      <c r="D33" s="66">
        <v>15803951</v>
      </c>
      <c r="E33" s="66"/>
      <c r="G33" s="66">
        <f>D33</f>
        <v>15803951</v>
      </c>
      <c r="H33" s="66"/>
    </row>
    <row r="34" spans="1:8" x14ac:dyDescent="0.2">
      <c r="A34" s="42" t="s">
        <v>104</v>
      </c>
      <c r="B34" s="63" t="s">
        <v>105</v>
      </c>
      <c r="C34" s="63"/>
      <c r="D34" s="67">
        <f>+D18</f>
        <v>3495318</v>
      </c>
      <c r="G34" s="67">
        <f>+G18</f>
        <v>3495318</v>
      </c>
    </row>
    <row r="35" spans="1:8" x14ac:dyDescent="0.2">
      <c r="B35" s="63"/>
      <c r="C35" s="63"/>
      <c r="D35" s="65">
        <f>+D33-D34</f>
        <v>12308633</v>
      </c>
      <c r="G35" s="65">
        <f>+G33-G34</f>
        <v>12308633</v>
      </c>
    </row>
    <row r="36" spans="1:8" x14ac:dyDescent="0.2">
      <c r="B36" s="63"/>
      <c r="C36" s="63"/>
    </row>
    <row r="37" spans="1:8" x14ac:dyDescent="0.2">
      <c r="A37" s="42" t="s">
        <v>100</v>
      </c>
      <c r="D37" s="42">
        <f>D24</f>
        <v>0.38574999999999998</v>
      </c>
      <c r="G37" s="42">
        <f>G24</f>
        <v>0.25345000000000001</v>
      </c>
    </row>
    <row r="39" spans="1:8" x14ac:dyDescent="0.2">
      <c r="A39" s="42" t="s">
        <v>106</v>
      </c>
      <c r="D39" s="66">
        <f>ROUND(+D35*D37,0)</f>
        <v>4748055</v>
      </c>
      <c r="G39" s="66">
        <f>ROUND(+G35*G37,0)</f>
        <v>3119623</v>
      </c>
    </row>
    <row r="41" spans="1:8" x14ac:dyDescent="0.2">
      <c r="D41" s="68"/>
      <c r="G41" s="68"/>
    </row>
    <row r="42" spans="1:8" x14ac:dyDescent="0.2">
      <c r="A42" s="42" t="s">
        <v>119</v>
      </c>
      <c r="D42" s="68">
        <v>4635854</v>
      </c>
      <c r="G42" s="68">
        <v>3029320</v>
      </c>
    </row>
    <row r="43" spans="1:8" x14ac:dyDescent="0.2">
      <c r="A43" s="42" t="s">
        <v>107</v>
      </c>
      <c r="D43" s="68">
        <v>59030</v>
      </c>
      <c r="G43" s="68">
        <v>38784</v>
      </c>
    </row>
    <row r="44" spans="1:8" x14ac:dyDescent="0.2">
      <c r="A44" s="42" t="s">
        <v>108</v>
      </c>
      <c r="D44" s="68">
        <f>D26</f>
        <v>73383.922749999998</v>
      </c>
      <c r="G44" s="68">
        <f>G26</f>
        <v>48215.567650000005</v>
      </c>
    </row>
    <row r="45" spans="1:8" x14ac:dyDescent="0.2">
      <c r="A45" s="42" t="s">
        <v>109</v>
      </c>
      <c r="D45" s="69">
        <f>SUM(D42:D44)</f>
        <v>4768267.9227499999</v>
      </c>
      <c r="G45" s="69">
        <f>SUM(G42:G44)</f>
        <v>3116319.5676500001</v>
      </c>
    </row>
    <row r="46" spans="1:8" x14ac:dyDescent="0.2">
      <c r="A46" s="42" t="s">
        <v>108</v>
      </c>
      <c r="D46" s="68">
        <f>D39-D45</f>
        <v>-20212.922749999911</v>
      </c>
      <c r="G46" s="68">
        <f>G39-G45</f>
        <v>3303.4323499999009</v>
      </c>
    </row>
    <row r="47" spans="1:8" ht="12" thickBot="1" x14ac:dyDescent="0.25">
      <c r="A47" s="42" t="s">
        <v>110</v>
      </c>
      <c r="D47" s="70">
        <f>D45+D46</f>
        <v>4748055</v>
      </c>
      <c r="G47" s="70">
        <f>G45+G46</f>
        <v>3119623</v>
      </c>
    </row>
    <row r="48" spans="1:8" ht="12" thickTop="1" x14ac:dyDescent="0.2">
      <c r="A48" s="42" t="s">
        <v>117</v>
      </c>
      <c r="D48" s="71">
        <v>415549</v>
      </c>
      <c r="E48" s="71"/>
      <c r="F48" s="71"/>
      <c r="G48" s="71">
        <v>415549</v>
      </c>
    </row>
    <row r="49" spans="1:7" ht="12" thickBot="1" x14ac:dyDescent="0.25">
      <c r="A49" s="42" t="s">
        <v>118</v>
      </c>
      <c r="D49" s="72">
        <f>D47+D48</f>
        <v>5163604</v>
      </c>
      <c r="E49" s="71"/>
      <c r="F49" s="71"/>
      <c r="G49" s="72">
        <f>G47+G48</f>
        <v>3535172</v>
      </c>
    </row>
    <row r="50" spans="1:7" ht="12" thickTop="1" x14ac:dyDescent="0.2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9" workbookViewId="0">
      <selection activeCell="E22" sqref="E22"/>
    </sheetView>
  </sheetViews>
  <sheetFormatPr defaultRowHeight="11.25" x14ac:dyDescent="0.2"/>
  <cols>
    <col min="1" max="2" width="9.140625" style="42"/>
    <col min="3" max="3" width="14.5703125" style="42" customWidth="1"/>
    <col min="4" max="4" width="13.85546875" style="42" customWidth="1"/>
    <col min="5" max="5" width="10.85546875" style="42" customWidth="1"/>
    <col min="6" max="6" width="9.140625" style="42"/>
    <col min="7" max="7" width="13.85546875" style="42" customWidth="1"/>
    <col min="8" max="8" width="10.85546875" style="42" customWidth="1"/>
    <col min="9" max="16384" width="9.140625" style="42"/>
  </cols>
  <sheetData>
    <row r="1" spans="1:9" ht="12.75" x14ac:dyDescent="0.2">
      <c r="A1" s="43" t="s">
        <v>42</v>
      </c>
      <c r="G1" s="43" t="s">
        <v>38</v>
      </c>
      <c r="H1" s="45"/>
      <c r="I1" s="45"/>
    </row>
    <row r="2" spans="1:9" ht="12.75" x14ac:dyDescent="0.2">
      <c r="A2" s="43" t="s">
        <v>114</v>
      </c>
      <c r="G2" s="43" t="s">
        <v>39</v>
      </c>
      <c r="H2" s="45"/>
      <c r="I2" s="45"/>
    </row>
    <row r="3" spans="1:9" ht="12.75" x14ac:dyDescent="0.2">
      <c r="A3" s="43" t="s">
        <v>43</v>
      </c>
    </row>
    <row r="6" spans="1:9" x14ac:dyDescent="0.2">
      <c r="D6" s="55" t="s">
        <v>89</v>
      </c>
      <c r="G6" s="55" t="s">
        <v>89</v>
      </c>
    </row>
    <row r="7" spans="1:9" x14ac:dyDescent="0.2">
      <c r="D7" s="55" t="s">
        <v>90</v>
      </c>
      <c r="G7" s="55" t="s">
        <v>90</v>
      </c>
    </row>
    <row r="8" spans="1:9" x14ac:dyDescent="0.2">
      <c r="D8" s="56" t="s">
        <v>111</v>
      </c>
      <c r="G8" s="56" t="s">
        <v>112</v>
      </c>
    </row>
    <row r="10" spans="1:9" x14ac:dyDescent="0.2">
      <c r="A10" s="42" t="s">
        <v>91</v>
      </c>
      <c r="D10" s="57">
        <v>90247165</v>
      </c>
      <c r="G10" s="57">
        <f>D10</f>
        <v>90247165</v>
      </c>
    </row>
    <row r="12" spans="1:9" x14ac:dyDescent="0.2">
      <c r="A12" s="42" t="s">
        <v>92</v>
      </c>
      <c r="D12" s="57">
        <v>812224</v>
      </c>
      <c r="E12" s="58">
        <v>8.9999999999999993E-3</v>
      </c>
      <c r="G12" s="57">
        <f>D12</f>
        <v>812224</v>
      </c>
      <c r="H12" s="58">
        <f>E12</f>
        <v>8.9999999999999993E-3</v>
      </c>
    </row>
    <row r="13" spans="1:9" x14ac:dyDescent="0.2">
      <c r="A13" s="42" t="s">
        <v>93</v>
      </c>
      <c r="D13" s="57">
        <v>297816</v>
      </c>
      <c r="E13" s="58">
        <v>3.3E-3</v>
      </c>
      <c r="G13" s="57">
        <f t="shared" ref="G13:G14" si="0">D13</f>
        <v>297816</v>
      </c>
      <c r="H13" s="58">
        <f t="shared" ref="H13:H14" si="1">E13</f>
        <v>3.3E-3</v>
      </c>
    </row>
    <row r="14" spans="1:9" x14ac:dyDescent="0.2">
      <c r="A14" s="42" t="s">
        <v>95</v>
      </c>
      <c r="D14" s="57">
        <v>27074</v>
      </c>
      <c r="E14" s="58">
        <v>2.9999999999999997E-4</v>
      </c>
      <c r="G14" s="57">
        <f t="shared" si="0"/>
        <v>27074</v>
      </c>
      <c r="H14" s="58">
        <f t="shared" si="1"/>
        <v>2.9999999999999997E-4</v>
      </c>
    </row>
    <row r="15" spans="1:9" x14ac:dyDescent="0.2">
      <c r="A15" s="42" t="s">
        <v>97</v>
      </c>
      <c r="D15" s="59">
        <f>SUM(D12:D14)</f>
        <v>1137114</v>
      </c>
      <c r="G15" s="59">
        <f>SUM(G12:G14)</f>
        <v>1137114</v>
      </c>
    </row>
    <row r="18" spans="1:8" x14ac:dyDescent="0.2">
      <c r="A18" s="42" t="s">
        <v>98</v>
      </c>
      <c r="D18" s="60">
        <v>1402241</v>
      </c>
      <c r="G18" s="60">
        <f>D18</f>
        <v>1402241</v>
      </c>
    </row>
    <row r="19" spans="1:8" x14ac:dyDescent="0.2">
      <c r="D19" s="60"/>
      <c r="G19" s="60"/>
    </row>
    <row r="20" spans="1:8" x14ac:dyDescent="0.2">
      <c r="A20" s="42" t="s">
        <v>99</v>
      </c>
      <c r="D20" s="60">
        <f>+D18-D15</f>
        <v>265127</v>
      </c>
      <c r="G20" s="60">
        <f>+G18-G15</f>
        <v>265127</v>
      </c>
    </row>
    <row r="21" spans="1:8" x14ac:dyDescent="0.2">
      <c r="A21" s="42" t="s">
        <v>100</v>
      </c>
      <c r="D21" s="42">
        <v>0.38574999999999998</v>
      </c>
      <c r="G21" s="42">
        <v>0.25345000000000001</v>
      </c>
    </row>
    <row r="23" spans="1:8" ht="12" thickBot="1" x14ac:dyDescent="0.25">
      <c r="A23" s="42" t="s">
        <v>101</v>
      </c>
      <c r="D23" s="61">
        <f>+D20*D21</f>
        <v>102272.74024999999</v>
      </c>
      <c r="G23" s="61">
        <f>+G20*G21</f>
        <v>67196.438150000002</v>
      </c>
    </row>
    <row r="24" spans="1:8" ht="12" thickTop="1" x14ac:dyDescent="0.2"/>
    <row r="27" spans="1:8" ht="12" x14ac:dyDescent="0.2">
      <c r="A27" s="54" t="s">
        <v>102</v>
      </c>
      <c r="B27" s="62"/>
      <c r="C27" s="63"/>
    </row>
    <row r="28" spans="1:8" x14ac:dyDescent="0.2">
      <c r="B28" s="63"/>
      <c r="C28" s="63"/>
    </row>
    <row r="29" spans="1:8" x14ac:dyDescent="0.2">
      <c r="B29" s="63"/>
      <c r="C29" s="64"/>
    </row>
    <row r="30" spans="1:8" x14ac:dyDescent="0.2">
      <c r="A30" s="42" t="s">
        <v>103</v>
      </c>
      <c r="B30" s="63"/>
      <c r="C30" s="63"/>
      <c r="D30" s="66">
        <v>6523217</v>
      </c>
      <c r="E30" s="66"/>
      <c r="G30" s="66">
        <f>D30</f>
        <v>6523217</v>
      </c>
      <c r="H30" s="66"/>
    </row>
    <row r="31" spans="1:8" x14ac:dyDescent="0.2">
      <c r="A31" s="42" t="s">
        <v>104</v>
      </c>
      <c r="B31" s="63" t="s">
        <v>105</v>
      </c>
      <c r="C31" s="63"/>
      <c r="D31" s="67">
        <f>+D15</f>
        <v>1137114</v>
      </c>
      <c r="G31" s="67">
        <f>+G15</f>
        <v>1137114</v>
      </c>
    </row>
    <row r="32" spans="1:8" x14ac:dyDescent="0.2">
      <c r="B32" s="63"/>
      <c r="C32" s="63"/>
      <c r="D32" s="65">
        <f>+D30-D31</f>
        <v>5386103</v>
      </c>
      <c r="G32" s="65">
        <f>+G30-G31</f>
        <v>5386103</v>
      </c>
    </row>
    <row r="33" spans="1:7" x14ac:dyDescent="0.2">
      <c r="B33" s="63"/>
      <c r="C33" s="63"/>
    </row>
    <row r="34" spans="1:7" x14ac:dyDescent="0.2">
      <c r="A34" s="42" t="s">
        <v>100</v>
      </c>
      <c r="D34" s="42">
        <f>D21</f>
        <v>0.38574999999999998</v>
      </c>
      <c r="G34" s="42">
        <f>G21</f>
        <v>0.25345000000000001</v>
      </c>
    </row>
    <row r="36" spans="1:7" x14ac:dyDescent="0.2">
      <c r="A36" s="42" t="s">
        <v>106</v>
      </c>
      <c r="D36" s="66">
        <f>ROUND(+D32*D34,0)</f>
        <v>2077689</v>
      </c>
      <c r="G36" s="66">
        <f>ROUND(+G32*G34,0)</f>
        <v>1365108</v>
      </c>
    </row>
    <row r="38" spans="1:7" x14ac:dyDescent="0.2">
      <c r="D38" s="68"/>
      <c r="G38" s="68"/>
    </row>
    <row r="39" spans="1:7" x14ac:dyDescent="0.2">
      <c r="A39" s="42" t="s">
        <v>119</v>
      </c>
      <c r="D39" s="68">
        <v>2026993</v>
      </c>
      <c r="G39" s="68">
        <v>916911</v>
      </c>
    </row>
    <row r="40" spans="1:7" x14ac:dyDescent="0.2">
      <c r="A40" s="42" t="s">
        <v>107</v>
      </c>
      <c r="D40" s="68">
        <v>-20470</v>
      </c>
      <c r="G40" s="68">
        <v>0</v>
      </c>
    </row>
    <row r="41" spans="1:7" x14ac:dyDescent="0.2">
      <c r="A41" s="42" t="s">
        <v>108</v>
      </c>
      <c r="D41" s="68">
        <f>D23</f>
        <v>102272.74024999999</v>
      </c>
      <c r="G41" s="68">
        <f>G23</f>
        <v>67196.438150000002</v>
      </c>
    </row>
    <row r="42" spans="1:7" x14ac:dyDescent="0.2">
      <c r="A42" s="42" t="s">
        <v>109</v>
      </c>
      <c r="D42" s="69">
        <f>SUM(D39:D41)</f>
        <v>2108795.7402499998</v>
      </c>
      <c r="G42" s="69">
        <f>SUM(G39:G41)</f>
        <v>984107.43815000006</v>
      </c>
    </row>
    <row r="43" spans="1:7" x14ac:dyDescent="0.2">
      <c r="A43" s="42" t="s">
        <v>108</v>
      </c>
      <c r="D43" s="68">
        <f>D36-D42</f>
        <v>-31106.740249999799</v>
      </c>
      <c r="G43" s="68">
        <f>G36-G42</f>
        <v>381000.56184999994</v>
      </c>
    </row>
    <row r="44" spans="1:7" ht="12" thickBot="1" x14ac:dyDescent="0.25">
      <c r="A44" s="42" t="s">
        <v>110</v>
      </c>
      <c r="D44" s="70">
        <f>D42+D43</f>
        <v>2077689</v>
      </c>
      <c r="G44" s="70">
        <f>G42+G43</f>
        <v>1365108</v>
      </c>
    </row>
    <row r="45" spans="1:7" ht="12" thickTop="1" x14ac:dyDescent="0.2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G43" sqref="G43"/>
    </sheetView>
  </sheetViews>
  <sheetFormatPr defaultRowHeight="11.25" x14ac:dyDescent="0.2"/>
  <cols>
    <col min="1" max="2" width="9.140625" style="42"/>
    <col min="3" max="3" width="14.5703125" style="42" customWidth="1"/>
    <col min="4" max="4" width="13.85546875" style="73" customWidth="1"/>
    <col min="5" max="5" width="10.85546875" style="42" customWidth="1"/>
    <col min="6" max="6" width="9.140625" style="42"/>
    <col min="7" max="7" width="13.85546875" style="42" customWidth="1"/>
    <col min="8" max="8" width="10.85546875" style="42" customWidth="1"/>
    <col min="9" max="16384" width="9.140625" style="42"/>
  </cols>
  <sheetData>
    <row r="1" spans="1:9" ht="12.75" x14ac:dyDescent="0.2">
      <c r="A1" s="43" t="s">
        <v>42</v>
      </c>
      <c r="G1" s="43" t="s">
        <v>38</v>
      </c>
      <c r="H1" s="45"/>
      <c r="I1" s="45"/>
    </row>
    <row r="2" spans="1:9" ht="12.75" x14ac:dyDescent="0.2">
      <c r="A2" s="43" t="s">
        <v>115</v>
      </c>
      <c r="G2" s="43" t="s">
        <v>39</v>
      </c>
      <c r="H2" s="45"/>
      <c r="I2" s="45"/>
    </row>
    <row r="3" spans="1:9" ht="12.75" x14ac:dyDescent="0.2">
      <c r="A3" s="43" t="s">
        <v>43</v>
      </c>
    </row>
    <row r="6" spans="1:9" x14ac:dyDescent="0.2">
      <c r="D6" s="74" t="s">
        <v>89</v>
      </c>
      <c r="G6" s="55" t="s">
        <v>89</v>
      </c>
    </row>
    <row r="7" spans="1:9" x14ac:dyDescent="0.2">
      <c r="D7" s="74" t="s">
        <v>90</v>
      </c>
      <c r="G7" s="55" t="s">
        <v>90</v>
      </c>
    </row>
    <row r="8" spans="1:9" x14ac:dyDescent="0.2">
      <c r="D8" s="75" t="s">
        <v>111</v>
      </c>
      <c r="G8" s="56" t="s">
        <v>112</v>
      </c>
    </row>
    <row r="10" spans="1:9" x14ac:dyDescent="0.2">
      <c r="A10" s="42" t="s">
        <v>91</v>
      </c>
      <c r="D10" s="76">
        <v>2385305.41</v>
      </c>
      <c r="G10" s="84">
        <f>D10</f>
        <v>2385305.41</v>
      </c>
    </row>
    <row r="11" spans="1:9" x14ac:dyDescent="0.2">
      <c r="D11" s="76"/>
    </row>
    <row r="12" spans="1:9" x14ac:dyDescent="0.2">
      <c r="A12" s="42" t="s">
        <v>92</v>
      </c>
      <c r="D12" s="76">
        <v>22421.87</v>
      </c>
      <c r="E12" s="58">
        <v>9.4000000000000004E-3</v>
      </c>
      <c r="G12" s="84">
        <f>D12</f>
        <v>22421.87</v>
      </c>
      <c r="H12" s="58">
        <f>E12</f>
        <v>9.4000000000000004E-3</v>
      </c>
    </row>
    <row r="13" spans="1:9" x14ac:dyDescent="0.2">
      <c r="A13" s="42" t="s">
        <v>93</v>
      </c>
      <c r="D13" s="76">
        <v>8348.57</v>
      </c>
      <c r="E13" s="58">
        <v>3.5000000000000001E-3</v>
      </c>
      <c r="G13" s="84">
        <v>8348.57</v>
      </c>
      <c r="H13" s="58">
        <f t="shared" ref="H13:H14" si="0">E13</f>
        <v>3.5000000000000001E-3</v>
      </c>
    </row>
    <row r="14" spans="1:9" x14ac:dyDescent="0.2">
      <c r="A14" s="42" t="s">
        <v>95</v>
      </c>
      <c r="D14" s="76">
        <v>238.53</v>
      </c>
      <c r="E14" s="58">
        <v>1E-4</v>
      </c>
      <c r="G14" s="84">
        <v>238.53</v>
      </c>
      <c r="H14" s="58">
        <f t="shared" si="0"/>
        <v>1E-4</v>
      </c>
    </row>
    <row r="15" spans="1:9" x14ac:dyDescent="0.2">
      <c r="A15" s="42" t="s">
        <v>96</v>
      </c>
      <c r="D15" s="76"/>
      <c r="E15" s="58"/>
      <c r="G15" s="57"/>
      <c r="H15" s="58"/>
    </row>
    <row r="16" spans="1:9" x14ac:dyDescent="0.2">
      <c r="D16" s="76"/>
    </row>
    <row r="17" spans="1:8" x14ac:dyDescent="0.2">
      <c r="A17" s="42" t="s">
        <v>97</v>
      </c>
      <c r="D17" s="83">
        <f>SUM(D12:D16)</f>
        <v>31008.969999999998</v>
      </c>
      <c r="G17" s="59">
        <f>SUM(G12:G16)</f>
        <v>31008.969999999998</v>
      </c>
    </row>
    <row r="18" spans="1:8" x14ac:dyDescent="0.2">
      <c r="D18" s="76"/>
    </row>
    <row r="19" spans="1:8" x14ac:dyDescent="0.2">
      <c r="D19" s="76"/>
    </row>
    <row r="20" spans="1:8" x14ac:dyDescent="0.2">
      <c r="A20" s="42" t="s">
        <v>98</v>
      </c>
      <c r="D20" s="76">
        <v>33558</v>
      </c>
      <c r="G20" s="60">
        <f>D20</f>
        <v>33558</v>
      </c>
    </row>
    <row r="21" spans="1:8" x14ac:dyDescent="0.2">
      <c r="D21" s="76"/>
      <c r="G21" s="60"/>
    </row>
    <row r="22" spans="1:8" x14ac:dyDescent="0.2">
      <c r="A22" s="42" t="s">
        <v>99</v>
      </c>
      <c r="D22" s="76">
        <f>+D20-D17</f>
        <v>2549.0300000000025</v>
      </c>
      <c r="G22" s="60">
        <f>+G20-G17</f>
        <v>2549.0300000000025</v>
      </c>
    </row>
    <row r="23" spans="1:8" x14ac:dyDescent="0.2">
      <c r="A23" s="42" t="s">
        <v>100</v>
      </c>
      <c r="D23" s="82">
        <v>0.38574999999999998</v>
      </c>
      <c r="G23" s="82">
        <v>0.25345000000000001</v>
      </c>
    </row>
    <row r="25" spans="1:8" ht="12" thickBot="1" x14ac:dyDescent="0.25">
      <c r="A25" s="42" t="s">
        <v>101</v>
      </c>
      <c r="D25" s="77">
        <f>+D22*D23</f>
        <v>983.28832250000096</v>
      </c>
      <c r="G25" s="61">
        <f>+G22*G23</f>
        <v>646.05165350000061</v>
      </c>
    </row>
    <row r="26" spans="1:8" ht="12" thickTop="1" x14ac:dyDescent="0.2"/>
    <row r="29" spans="1:8" ht="12" x14ac:dyDescent="0.2">
      <c r="A29" s="54" t="s">
        <v>102</v>
      </c>
      <c r="B29" s="62"/>
      <c r="C29" s="63"/>
    </row>
    <row r="30" spans="1:8" x14ac:dyDescent="0.2">
      <c r="B30" s="63"/>
      <c r="C30" s="63"/>
    </row>
    <row r="31" spans="1:8" x14ac:dyDescent="0.2">
      <c r="B31" s="63"/>
      <c r="C31" s="64"/>
    </row>
    <row r="32" spans="1:8" x14ac:dyDescent="0.2">
      <c r="A32" s="42" t="s">
        <v>103</v>
      </c>
      <c r="B32" s="63"/>
      <c r="C32" s="63"/>
      <c r="D32" s="76">
        <v>-274246</v>
      </c>
      <c r="E32" s="66"/>
      <c r="G32" s="66">
        <f>D32</f>
        <v>-274246</v>
      </c>
      <c r="H32" s="66"/>
    </row>
    <row r="33" spans="1:7" x14ac:dyDescent="0.2">
      <c r="A33" s="42" t="s">
        <v>104</v>
      </c>
      <c r="B33" s="63" t="s">
        <v>105</v>
      </c>
      <c r="C33" s="63"/>
      <c r="D33" s="78">
        <f>+D17</f>
        <v>31008.969999999998</v>
      </c>
      <c r="G33" s="67">
        <f>+G17</f>
        <v>31008.969999999998</v>
      </c>
    </row>
    <row r="34" spans="1:7" x14ac:dyDescent="0.2">
      <c r="B34" s="63"/>
      <c r="C34" s="63"/>
      <c r="D34" s="79">
        <f>+D32-D33</f>
        <v>-305254.96999999997</v>
      </c>
      <c r="G34" s="65">
        <f>+G32-G33</f>
        <v>-305254.96999999997</v>
      </c>
    </row>
    <row r="35" spans="1:7" x14ac:dyDescent="0.2">
      <c r="B35" s="63"/>
      <c r="C35" s="63"/>
    </row>
    <row r="36" spans="1:7" x14ac:dyDescent="0.2">
      <c r="A36" s="42" t="s">
        <v>100</v>
      </c>
      <c r="D36" s="82">
        <f>D23</f>
        <v>0.38574999999999998</v>
      </c>
      <c r="G36" s="42">
        <f>G23</f>
        <v>0.25345000000000001</v>
      </c>
    </row>
    <row r="38" spans="1:7" x14ac:dyDescent="0.2">
      <c r="A38" s="42" t="s">
        <v>106</v>
      </c>
      <c r="D38" s="76">
        <f>ROUND(+D34*D36,0)</f>
        <v>-117752</v>
      </c>
      <c r="G38" s="66">
        <f>ROUND(+G34*G36,0)</f>
        <v>-77367</v>
      </c>
    </row>
    <row r="39" spans="1:7" x14ac:dyDescent="0.2">
      <c r="D39" s="76"/>
    </row>
    <row r="40" spans="1:7" x14ac:dyDescent="0.2">
      <c r="D40" s="80"/>
      <c r="G40" s="68"/>
    </row>
    <row r="41" spans="1:7" x14ac:dyDescent="0.2">
      <c r="A41" s="42" t="s">
        <v>119</v>
      </c>
      <c r="D41" s="80">
        <v>-117653</v>
      </c>
      <c r="G41" s="68">
        <v>916911</v>
      </c>
    </row>
    <row r="42" spans="1:7" x14ac:dyDescent="0.2">
      <c r="A42" s="42" t="s">
        <v>107</v>
      </c>
      <c r="D42" s="80">
        <v>101</v>
      </c>
      <c r="G42" s="68">
        <v>0</v>
      </c>
    </row>
    <row r="43" spans="1:7" x14ac:dyDescent="0.2">
      <c r="A43" s="42" t="s">
        <v>108</v>
      </c>
      <c r="D43" s="80">
        <f>D25</f>
        <v>983.28832250000096</v>
      </c>
      <c r="G43" s="68">
        <f>G25</f>
        <v>646.05165350000061</v>
      </c>
    </row>
    <row r="44" spans="1:7" x14ac:dyDescent="0.2">
      <c r="A44" s="42" t="s">
        <v>109</v>
      </c>
      <c r="D44" s="81">
        <f>SUM(D41:D43)</f>
        <v>-116568.7116775</v>
      </c>
      <c r="G44" s="69">
        <f>SUM(G41:G43)</f>
        <v>917557.05165349995</v>
      </c>
    </row>
    <row r="45" spans="1:7" x14ac:dyDescent="0.2">
      <c r="A45" s="42" t="s">
        <v>108</v>
      </c>
      <c r="D45" s="80">
        <f>D38-D44</f>
        <v>-1183.2883224999969</v>
      </c>
      <c r="G45" s="68">
        <f>G38-G44</f>
        <v>-994924.05165349995</v>
      </c>
    </row>
    <row r="46" spans="1:7" ht="12" thickBot="1" x14ac:dyDescent="0.25">
      <c r="A46" s="42" t="s">
        <v>110</v>
      </c>
      <c r="D46" s="77">
        <f>D44+D45</f>
        <v>-117752</v>
      </c>
      <c r="G46" s="70">
        <f>G44+G45</f>
        <v>-77367</v>
      </c>
    </row>
    <row r="47" spans="1:7" ht="12" thickTop="1" x14ac:dyDescent="0.2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7" workbookViewId="0">
      <selection activeCell="E12" sqref="E12:E14"/>
    </sheetView>
  </sheetViews>
  <sheetFormatPr defaultRowHeight="11.25" x14ac:dyDescent="0.2"/>
  <cols>
    <col min="1" max="2" width="9.140625" style="42"/>
    <col min="3" max="3" width="14.5703125" style="42" customWidth="1"/>
    <col min="4" max="4" width="13.85546875" style="42" customWidth="1"/>
    <col min="5" max="5" width="10.85546875" style="42" customWidth="1"/>
    <col min="6" max="6" width="9.140625" style="42"/>
    <col min="7" max="7" width="13.85546875" style="42" customWidth="1"/>
    <col min="8" max="8" width="10.85546875" style="42" customWidth="1"/>
    <col min="9" max="16384" width="9.140625" style="42"/>
  </cols>
  <sheetData>
    <row r="1" spans="1:9" ht="12.75" x14ac:dyDescent="0.2">
      <c r="A1" s="43" t="s">
        <v>42</v>
      </c>
      <c r="G1" s="43" t="s">
        <v>38</v>
      </c>
      <c r="H1" s="45"/>
      <c r="I1" s="45"/>
    </row>
    <row r="2" spans="1:9" ht="12.75" x14ac:dyDescent="0.2">
      <c r="A2" s="43" t="s">
        <v>116</v>
      </c>
      <c r="G2" s="43" t="s">
        <v>39</v>
      </c>
      <c r="H2" s="45"/>
      <c r="I2" s="45"/>
    </row>
    <row r="3" spans="1:9" ht="12.75" x14ac:dyDescent="0.2">
      <c r="A3" s="43" t="s">
        <v>43</v>
      </c>
    </row>
    <row r="6" spans="1:9" x14ac:dyDescent="0.2">
      <c r="D6" s="55" t="s">
        <v>89</v>
      </c>
      <c r="G6" s="55" t="s">
        <v>89</v>
      </c>
    </row>
    <row r="7" spans="1:9" x14ac:dyDescent="0.2">
      <c r="D7" s="55" t="s">
        <v>90</v>
      </c>
      <c r="G7" s="55" t="s">
        <v>90</v>
      </c>
    </row>
    <row r="8" spans="1:9" x14ac:dyDescent="0.2">
      <c r="D8" s="56" t="s">
        <v>111</v>
      </c>
      <c r="G8" s="56" t="s">
        <v>112</v>
      </c>
    </row>
    <row r="10" spans="1:9" x14ac:dyDescent="0.2">
      <c r="A10" s="42" t="s">
        <v>91</v>
      </c>
      <c r="D10" s="57">
        <f>G10</f>
        <v>917794</v>
      </c>
      <c r="G10" s="57">
        <v>917794</v>
      </c>
    </row>
    <row r="12" spans="1:9" x14ac:dyDescent="0.2">
      <c r="A12" s="42" t="s">
        <v>92</v>
      </c>
      <c r="D12" s="57">
        <f t="shared" ref="D12:D14" si="0">G12</f>
        <v>8168</v>
      </c>
      <c r="E12" s="58">
        <f>H12</f>
        <v>8.8999999999999999E-3</v>
      </c>
      <c r="G12" s="57">
        <v>8168</v>
      </c>
      <c r="H12" s="58">
        <v>8.8999999999999999E-3</v>
      </c>
    </row>
    <row r="13" spans="1:9" x14ac:dyDescent="0.2">
      <c r="A13" s="42" t="s">
        <v>93</v>
      </c>
      <c r="D13" s="57">
        <f t="shared" si="0"/>
        <v>3029</v>
      </c>
      <c r="E13" s="58">
        <f>H13</f>
        <v>3.3E-3</v>
      </c>
      <c r="G13" s="57">
        <v>3029</v>
      </c>
      <c r="H13" s="58">
        <v>3.3E-3</v>
      </c>
    </row>
    <row r="14" spans="1:9" x14ac:dyDescent="0.2">
      <c r="A14" s="42" t="s">
        <v>95</v>
      </c>
      <c r="D14" s="57">
        <f t="shared" si="0"/>
        <v>0</v>
      </c>
      <c r="E14" s="58">
        <f>H14</f>
        <v>0</v>
      </c>
      <c r="G14" s="57">
        <v>0</v>
      </c>
      <c r="H14" s="58">
        <v>0</v>
      </c>
    </row>
    <row r="15" spans="1:9" x14ac:dyDescent="0.2">
      <c r="A15" s="42" t="s">
        <v>96</v>
      </c>
      <c r="D15" s="57"/>
      <c r="E15" s="58"/>
      <c r="G15" s="57"/>
      <c r="H15" s="58"/>
    </row>
    <row r="17" spans="1:8" x14ac:dyDescent="0.2">
      <c r="A17" s="42" t="s">
        <v>97</v>
      </c>
      <c r="D17" s="59">
        <f>SUM(D12:D16)</f>
        <v>11197</v>
      </c>
      <c r="G17" s="59">
        <f>SUM(G12:G16)</f>
        <v>11197</v>
      </c>
    </row>
    <row r="20" spans="1:8" x14ac:dyDescent="0.2">
      <c r="A20" s="42" t="s">
        <v>98</v>
      </c>
      <c r="D20" s="60">
        <v>17548</v>
      </c>
      <c r="G20" s="60">
        <f>D20</f>
        <v>17548</v>
      </c>
    </row>
    <row r="21" spans="1:8" x14ac:dyDescent="0.2">
      <c r="D21" s="60"/>
      <c r="G21" s="60"/>
    </row>
    <row r="22" spans="1:8" x14ac:dyDescent="0.2">
      <c r="A22" s="42" t="s">
        <v>99</v>
      </c>
      <c r="D22" s="60">
        <f>+D20-D17</f>
        <v>6351</v>
      </c>
      <c r="G22" s="60">
        <f>+G20-G17</f>
        <v>6351</v>
      </c>
    </row>
    <row r="23" spans="1:8" x14ac:dyDescent="0.2">
      <c r="A23" s="42" t="s">
        <v>100</v>
      </c>
      <c r="D23" s="42">
        <v>0.38574999999999998</v>
      </c>
      <c r="G23" s="42">
        <v>0.25345000000000001</v>
      </c>
    </row>
    <row r="25" spans="1:8" ht="12" thickBot="1" x14ac:dyDescent="0.25">
      <c r="A25" s="42" t="s">
        <v>101</v>
      </c>
      <c r="D25" s="61">
        <f>+D22*D23</f>
        <v>2449.8982499999997</v>
      </c>
      <c r="G25" s="61">
        <f>+G22*G23</f>
        <v>1609.66095</v>
      </c>
    </row>
    <row r="26" spans="1:8" ht="12" thickTop="1" x14ac:dyDescent="0.2"/>
    <row r="29" spans="1:8" ht="12" x14ac:dyDescent="0.2">
      <c r="A29" s="54" t="s">
        <v>102</v>
      </c>
      <c r="B29" s="62"/>
      <c r="C29" s="63"/>
    </row>
    <row r="30" spans="1:8" x14ac:dyDescent="0.2">
      <c r="B30" s="63"/>
      <c r="C30" s="63"/>
    </row>
    <row r="31" spans="1:8" x14ac:dyDescent="0.2">
      <c r="B31" s="63"/>
      <c r="C31" s="64"/>
    </row>
    <row r="32" spans="1:8" x14ac:dyDescent="0.2">
      <c r="A32" s="42" t="s">
        <v>103</v>
      </c>
      <c r="B32" s="63"/>
      <c r="C32" s="63"/>
      <c r="D32" s="66">
        <v>-89965</v>
      </c>
      <c r="E32" s="66"/>
      <c r="G32" s="66">
        <f>D32</f>
        <v>-89965</v>
      </c>
      <c r="H32" s="66"/>
    </row>
    <row r="33" spans="1:7" x14ac:dyDescent="0.2">
      <c r="A33" s="42" t="s">
        <v>104</v>
      </c>
      <c r="B33" s="63" t="s">
        <v>105</v>
      </c>
      <c r="C33" s="63"/>
      <c r="D33" s="67">
        <f>+D17</f>
        <v>11197</v>
      </c>
      <c r="G33" s="67">
        <f>+G17</f>
        <v>11197</v>
      </c>
    </row>
    <row r="34" spans="1:7" x14ac:dyDescent="0.2">
      <c r="B34" s="63"/>
      <c r="C34" s="63"/>
      <c r="D34" s="65">
        <f>+D32-D33</f>
        <v>-101162</v>
      </c>
      <c r="G34" s="65">
        <f>+G32-G33</f>
        <v>-101162</v>
      </c>
    </row>
    <row r="35" spans="1:7" x14ac:dyDescent="0.2">
      <c r="B35" s="63"/>
      <c r="C35" s="63"/>
    </row>
    <row r="36" spans="1:7" x14ac:dyDescent="0.2">
      <c r="A36" s="42" t="s">
        <v>100</v>
      </c>
      <c r="D36" s="42">
        <f>D23</f>
        <v>0.38574999999999998</v>
      </c>
      <c r="G36" s="42">
        <f>G23</f>
        <v>0.25345000000000001</v>
      </c>
    </row>
    <row r="38" spans="1:7" x14ac:dyDescent="0.2">
      <c r="A38" s="42" t="s">
        <v>106</v>
      </c>
      <c r="D38" s="66">
        <f>ROUND(+D34*D36,0)</f>
        <v>-39023</v>
      </c>
      <c r="G38" s="66">
        <f>ROUND(+G34*G36,0)</f>
        <v>-25640</v>
      </c>
    </row>
    <row r="40" spans="1:7" x14ac:dyDescent="0.2">
      <c r="D40" s="68"/>
      <c r="G40" s="68"/>
    </row>
    <row r="41" spans="1:7" x14ac:dyDescent="0.2">
      <c r="A41" s="42" t="s">
        <v>119</v>
      </c>
      <c r="D41" s="68">
        <v>1394255</v>
      </c>
      <c r="G41" s="68">
        <v>916911</v>
      </c>
    </row>
    <row r="42" spans="1:7" x14ac:dyDescent="0.2">
      <c r="A42" s="42" t="s">
        <v>107</v>
      </c>
      <c r="D42" s="68">
        <v>0</v>
      </c>
      <c r="G42" s="68">
        <v>0</v>
      </c>
    </row>
    <row r="43" spans="1:7" x14ac:dyDescent="0.2">
      <c r="A43" s="42" t="s">
        <v>108</v>
      </c>
      <c r="D43" s="68">
        <f>D25</f>
        <v>2449.8982499999997</v>
      </c>
      <c r="G43" s="68">
        <f>G25</f>
        <v>1609.66095</v>
      </c>
    </row>
    <row r="44" spans="1:7" x14ac:dyDescent="0.2">
      <c r="A44" s="42" t="s">
        <v>109</v>
      </c>
      <c r="D44" s="69">
        <f>SUM(D41:D43)</f>
        <v>1396704.8982500001</v>
      </c>
      <c r="G44" s="69">
        <f>SUM(G41:G43)</f>
        <v>918520.66095000005</v>
      </c>
    </row>
    <row r="45" spans="1:7" x14ac:dyDescent="0.2">
      <c r="A45" s="42" t="s">
        <v>108</v>
      </c>
      <c r="D45" s="68">
        <f>D38-D44</f>
        <v>-1435727.8982500001</v>
      </c>
      <c r="G45" s="68">
        <f>G38-G44</f>
        <v>-944160.66095000005</v>
      </c>
    </row>
    <row r="46" spans="1:7" ht="12" thickBot="1" x14ac:dyDescent="0.25">
      <c r="A46" s="42" t="s">
        <v>110</v>
      </c>
      <c r="D46" s="70">
        <f>D44+D45</f>
        <v>-39023</v>
      </c>
      <c r="G46" s="70">
        <f>G44+G45</f>
        <v>-25640</v>
      </c>
    </row>
    <row r="47" spans="1:7" ht="12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Gas Summary Total Gas</vt:lpstr>
      <vt:lpstr>Summary by Division</vt:lpstr>
      <vt:lpstr>Gas Reg Tax Liab</vt:lpstr>
      <vt:lpstr>Gas Current Savings</vt:lpstr>
      <vt:lpstr>FN Tax Computation</vt:lpstr>
      <vt:lpstr>CF Tax Computation</vt:lpstr>
      <vt:lpstr>FI Tax Computation</vt:lpstr>
      <vt:lpstr>FT Tax Computation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