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worksheets/sheet7.xml" ContentType="application/vnd.openxmlformats-officedocument.spreadsheetml.worksheet+xml"/>
  <Override PartName="/xl/theme/themeOverride4.xml" ContentType="application/vnd.openxmlformats-officedocument.themeOverrid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olors4.xml" ContentType="application/vnd.ms-office.chartcolorstyle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/>
  <xr:revisionPtr revIDLastSave="2" documentId="13_ncr:1_{4582EA7E-2EAA-4605-B297-C8293B6042C1}" xr6:coauthVersionLast="47" xr6:coauthVersionMax="47" xr10:uidLastSave="{70398EF9-E1AE-49FD-A87F-07A96A2F24A0}"/>
  <bookViews>
    <workbookView xWindow="2340" yWindow="2340" windowWidth="21600" windowHeight="11385" firstSheet="4" activeTab="4" xr2:uid="{3C96C2CE-5028-4358-BA53-01D6A5075468}"/>
  </bookViews>
  <sheets>
    <sheet name="Residential Use per Customer" sheetId="3" r:id="rId1"/>
    <sheet name="Residential Rates" sheetId="1" r:id="rId2"/>
    <sheet name="HC Median Houshold Income" sheetId="2" r:id="rId3"/>
    <sheet name="LIHEAP Qualification Income" sheetId="11" r:id="rId4"/>
    <sheet name="LIHEAP Threshold Graph" sheetId="6" r:id="rId5"/>
    <sheet name="Historical Poverty Guide" sheetId="5" r:id="rId6"/>
    <sheet name="Federal Poverty" sheetId="4" r:id="rId7"/>
    <sheet name="150% Poverty Threshold Graph" sheetId="7" r:id="rId8"/>
    <sheet name="Median Household Income Graph" sheetId="9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" i="1" l="1"/>
  <c r="P25" i="1"/>
  <c r="E25" i="11" s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C25" i="6"/>
  <c r="D24" i="3"/>
  <c r="E23" i="3" l="1"/>
  <c r="E24" i="3"/>
  <c r="E25" i="3"/>
  <c r="D25" i="3"/>
  <c r="D3" i="3" l="1"/>
  <c r="E4" i="6" l="1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3" i="6"/>
  <c r="C3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3" i="11"/>
  <c r="C16" i="11"/>
  <c r="C15" i="11"/>
  <c r="C14" i="11"/>
  <c r="C13" i="11"/>
  <c r="C17" i="11"/>
  <c r="C12" i="11"/>
  <c r="C11" i="11"/>
  <c r="C10" i="11"/>
  <c r="C9" i="11"/>
  <c r="C8" i="11"/>
  <c r="C7" i="11"/>
  <c r="C6" i="11"/>
  <c r="C5" i="11"/>
  <c r="C4" i="11"/>
  <c r="E4" i="9" l="1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3" i="9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3" i="7"/>
  <c r="F25" i="4"/>
  <c r="D25" i="4"/>
  <c r="E25" i="4"/>
  <c r="C25" i="4"/>
  <c r="C25" i="1"/>
  <c r="D24" i="4" l="1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E3" i="4"/>
  <c r="E24" i="4" l="1"/>
  <c r="F24" i="4" s="1"/>
  <c r="E23" i="4"/>
  <c r="F23" i="4" s="1"/>
  <c r="E22" i="4"/>
  <c r="F22" i="4" s="1"/>
  <c r="E21" i="4"/>
  <c r="F21" i="4" s="1"/>
  <c r="E20" i="4"/>
  <c r="F20" i="4" s="1"/>
  <c r="E19" i="4"/>
  <c r="F19" i="4" s="1"/>
  <c r="E18" i="4"/>
  <c r="F18" i="4" s="1"/>
  <c r="E17" i="4"/>
  <c r="F17" i="4" s="1"/>
  <c r="E16" i="4"/>
  <c r="F16" i="4" s="1"/>
  <c r="E15" i="4"/>
  <c r="F15" i="4" s="1"/>
  <c r="E14" i="4"/>
  <c r="F14" i="4" s="1"/>
  <c r="E13" i="4"/>
  <c r="F13" i="4" s="1"/>
  <c r="E12" i="4"/>
  <c r="F12" i="4" s="1"/>
  <c r="E11" i="4"/>
  <c r="F11" i="4" s="1"/>
  <c r="E10" i="4"/>
  <c r="F10" i="4" s="1"/>
  <c r="E9" i="4"/>
  <c r="F9" i="4" s="1"/>
  <c r="E8" i="4"/>
  <c r="F8" i="4" s="1"/>
  <c r="E7" i="4"/>
  <c r="F7" i="4" s="1"/>
  <c r="E6" i="4"/>
  <c r="F6" i="4" s="1"/>
  <c r="E5" i="4"/>
  <c r="F5" i="4" s="1"/>
  <c r="E4" i="4"/>
  <c r="F4" i="4" s="1"/>
  <c r="F3" i="4"/>
  <c r="H25" i="1" l="1"/>
  <c r="I25" i="1"/>
  <c r="J25" i="1"/>
  <c r="K25" i="1"/>
  <c r="L25" i="1"/>
  <c r="E22" i="3"/>
  <c r="E21" i="3"/>
  <c r="E20" i="3"/>
  <c r="E19" i="3"/>
  <c r="G19" i="3" s="1"/>
  <c r="E18" i="3"/>
  <c r="G18" i="3" s="1"/>
  <c r="E17" i="3"/>
  <c r="E16" i="3"/>
  <c r="E15" i="3"/>
  <c r="G15" i="3" s="1"/>
  <c r="E14" i="3"/>
  <c r="G14" i="3" s="1"/>
  <c r="E13" i="3"/>
  <c r="E12" i="3"/>
  <c r="E11" i="3"/>
  <c r="G11" i="3" s="1"/>
  <c r="E10" i="3"/>
  <c r="G10" i="3" s="1"/>
  <c r="E9" i="3"/>
  <c r="E8" i="3"/>
  <c r="E7" i="3"/>
  <c r="G7" i="3" s="1"/>
  <c r="E6" i="3"/>
  <c r="G6" i="3" s="1"/>
  <c r="E5" i="3"/>
  <c r="G5" i="3" s="1"/>
  <c r="E4" i="3"/>
  <c r="E3" i="3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3" i="2"/>
  <c r="C24" i="2"/>
  <c r="C25" i="2" s="1"/>
  <c r="C23" i="2"/>
  <c r="E23" i="11" l="1"/>
  <c r="F23" i="11" s="1"/>
  <c r="C23" i="6"/>
  <c r="D23" i="6" s="1"/>
  <c r="C23" i="7"/>
  <c r="D23" i="7" s="1"/>
  <c r="C23" i="9"/>
  <c r="D23" i="9" s="1"/>
  <c r="E24" i="11"/>
  <c r="F24" i="11" s="1"/>
  <c r="C24" i="9"/>
  <c r="D24" i="9" s="1"/>
  <c r="C24" i="7"/>
  <c r="D24" i="7" s="1"/>
  <c r="C24" i="6"/>
  <c r="D24" i="6" s="1"/>
  <c r="F25" i="11"/>
  <c r="G16" i="3"/>
  <c r="G12" i="3"/>
  <c r="G8" i="3"/>
  <c r="E11" i="11"/>
  <c r="F11" i="11" s="1"/>
  <c r="G20" i="3"/>
  <c r="G4" i="3"/>
  <c r="C11" i="7"/>
  <c r="D11" i="7" s="1"/>
  <c r="G21" i="3"/>
  <c r="G13" i="3"/>
  <c r="G3" i="3"/>
  <c r="G17" i="3"/>
  <c r="G9" i="3"/>
  <c r="G22" i="3"/>
  <c r="D25" i="6"/>
  <c r="C25" i="7"/>
  <c r="D25" i="7" s="1"/>
  <c r="C25" i="9"/>
  <c r="D25" i="9" s="1"/>
  <c r="C23" i="1"/>
  <c r="C22" i="1"/>
  <c r="C8" i="9" l="1"/>
  <c r="D8" i="9" s="1"/>
  <c r="C8" i="7"/>
  <c r="D8" i="7" s="1"/>
  <c r="E8" i="11"/>
  <c r="F8" i="11" s="1"/>
  <c r="C8" i="6"/>
  <c r="D8" i="6" s="1"/>
  <c r="E19" i="11"/>
  <c r="F19" i="11" s="1"/>
  <c r="C19" i="6"/>
  <c r="D19" i="6" s="1"/>
  <c r="C19" i="7"/>
  <c r="D19" i="7" s="1"/>
  <c r="C19" i="9"/>
  <c r="D19" i="9" s="1"/>
  <c r="C16" i="9"/>
  <c r="D16" i="9" s="1"/>
  <c r="C12" i="9"/>
  <c r="D12" i="9" s="1"/>
  <c r="C12" i="7"/>
  <c r="D12" i="7" s="1"/>
  <c r="E12" i="11"/>
  <c r="F12" i="11" s="1"/>
  <c r="C12" i="6"/>
  <c r="D12" i="6" s="1"/>
  <c r="C7" i="6"/>
  <c r="D7" i="6" s="1"/>
  <c r="C7" i="7"/>
  <c r="D7" i="7" s="1"/>
  <c r="E7" i="11"/>
  <c r="F7" i="11" s="1"/>
  <c r="C7" i="9"/>
  <c r="D7" i="9" s="1"/>
  <c r="E4" i="11"/>
  <c r="F4" i="11" s="1"/>
  <c r="C4" i="9"/>
  <c r="D4" i="9" s="1"/>
  <c r="C4" i="6"/>
  <c r="D4" i="6" s="1"/>
  <c r="C4" i="7"/>
  <c r="D4" i="7" s="1"/>
  <c r="C20" i="9"/>
  <c r="D20" i="9" s="1"/>
  <c r="E20" i="11"/>
  <c r="F20" i="11" s="1"/>
  <c r="C20" i="7"/>
  <c r="D20" i="7" s="1"/>
  <c r="C20" i="6"/>
  <c r="D20" i="6" s="1"/>
  <c r="C15" i="9"/>
  <c r="D15" i="9" s="1"/>
  <c r="C15" i="6"/>
  <c r="D15" i="6" s="1"/>
  <c r="C15" i="7"/>
  <c r="D15" i="7" s="1"/>
  <c r="E15" i="11"/>
  <c r="F15" i="11" s="1"/>
  <c r="C11" i="9"/>
  <c r="D11" i="9" s="1"/>
  <c r="E16" i="11"/>
  <c r="F16" i="11" s="1"/>
  <c r="C11" i="6"/>
  <c r="D11" i="6" s="1"/>
  <c r="C16" i="7"/>
  <c r="D16" i="7" s="1"/>
  <c r="C16" i="6"/>
  <c r="D16" i="6" s="1"/>
  <c r="E18" i="11"/>
  <c r="F18" i="11" s="1"/>
  <c r="C18" i="7"/>
  <c r="D18" i="7" s="1"/>
  <c r="C18" i="9"/>
  <c r="D18" i="9" s="1"/>
  <c r="C18" i="6"/>
  <c r="D18" i="6" s="1"/>
  <c r="E6" i="11"/>
  <c r="F6" i="11" s="1"/>
  <c r="C6" i="7"/>
  <c r="D6" i="7" s="1"/>
  <c r="C6" i="9"/>
  <c r="D6" i="9" s="1"/>
  <c r="C6" i="6"/>
  <c r="D6" i="6" s="1"/>
  <c r="E5" i="11"/>
  <c r="F5" i="11" s="1"/>
  <c r="C5" i="9"/>
  <c r="D5" i="9" s="1"/>
  <c r="C5" i="6"/>
  <c r="D5" i="6" s="1"/>
  <c r="C5" i="7"/>
  <c r="D5" i="7" s="1"/>
  <c r="E13" i="11"/>
  <c r="F13" i="11" s="1"/>
  <c r="C13" i="9"/>
  <c r="D13" i="9" s="1"/>
  <c r="C13" i="6"/>
  <c r="D13" i="6" s="1"/>
  <c r="C13" i="7"/>
  <c r="D13" i="7" s="1"/>
  <c r="E21" i="11"/>
  <c r="F21" i="11" s="1"/>
  <c r="C21" i="6"/>
  <c r="D21" i="6" s="1"/>
  <c r="C21" i="9"/>
  <c r="D21" i="9" s="1"/>
  <c r="C21" i="7"/>
  <c r="D21" i="7" s="1"/>
  <c r="E9" i="11"/>
  <c r="F9" i="11" s="1"/>
  <c r="C9" i="9"/>
  <c r="D9" i="9" s="1"/>
  <c r="C9" i="7"/>
  <c r="D9" i="7" s="1"/>
  <c r="C9" i="6"/>
  <c r="D9" i="6" s="1"/>
  <c r="E14" i="11"/>
  <c r="F14" i="11" s="1"/>
  <c r="C14" i="9"/>
  <c r="D14" i="9" s="1"/>
  <c r="C14" i="7"/>
  <c r="D14" i="7" s="1"/>
  <c r="C14" i="6"/>
  <c r="D14" i="6" s="1"/>
  <c r="E3" i="11"/>
  <c r="F3" i="11" s="1"/>
  <c r="C3" i="9"/>
  <c r="D3" i="9" s="1"/>
  <c r="C3" i="6"/>
  <c r="D3" i="6" s="1"/>
  <c r="C3" i="7"/>
  <c r="D3" i="7" s="1"/>
  <c r="E10" i="11"/>
  <c r="F10" i="11" s="1"/>
  <c r="C10" i="6"/>
  <c r="D10" i="6" s="1"/>
  <c r="C10" i="9"/>
  <c r="D10" i="9" s="1"/>
  <c r="C10" i="7"/>
  <c r="D10" i="7" s="1"/>
  <c r="E22" i="11"/>
  <c r="F22" i="11" s="1"/>
  <c r="C22" i="7"/>
  <c r="D22" i="7" s="1"/>
  <c r="C22" i="9"/>
  <c r="D22" i="9" s="1"/>
  <c r="C22" i="6"/>
  <c r="D22" i="6" s="1"/>
  <c r="E17" i="11"/>
  <c r="F17" i="11" s="1"/>
  <c r="C17" i="7"/>
  <c r="D17" i="7" s="1"/>
  <c r="C17" i="6"/>
  <c r="D17" i="6" s="1"/>
  <c r="C17" i="9"/>
  <c r="D17" i="9" s="1"/>
</calcChain>
</file>

<file path=xl/sharedStrings.xml><?xml version="1.0" encoding="utf-8"?>
<sst xmlns="http://schemas.openxmlformats.org/spreadsheetml/2006/main" count="71" uniqueCount="57">
  <si>
    <t>Year</t>
  </si>
  <si>
    <t>kWh Sales</t>
  </si>
  <si>
    <t>Total Bills</t>
  </si>
  <si>
    <t>Monthly Use per Residential Customer kWh</t>
  </si>
  <si>
    <t>Tier 1</t>
  </si>
  <si>
    <t>Tier 2</t>
  </si>
  <si>
    <t>Customer Charge</t>
  </si>
  <si>
    <t>Energy Charge &lt; 1000 kWh</t>
  </si>
  <si>
    <t>Energy Charge &gt;= 1000 kWh</t>
  </si>
  <si>
    <t>Fuel Charge &lt; 1000 kWh</t>
  </si>
  <si>
    <t>Fuel Charge &gt;= 1000 kWh</t>
  </si>
  <si>
    <t>Capacity Charge</t>
  </si>
  <si>
    <t>Environmental Charge</t>
  </si>
  <si>
    <t>Conservation Charge</t>
  </si>
  <si>
    <t>SPP Charge</t>
  </si>
  <si>
    <t>CETM Charge</t>
  </si>
  <si>
    <t>Storm Surcharge</t>
  </si>
  <si>
    <t>Tax Assumption</t>
  </si>
  <si>
    <t>Total Monthly Bill</t>
  </si>
  <si>
    <t>2025 Proposed</t>
  </si>
  <si>
    <t>https://fred.stlouisfed.org/series/MHIFL12057A052NCEN</t>
  </si>
  <si>
    <t>FRED Graph Observations</t>
  </si>
  <si>
    <t>observation_date</t>
  </si>
  <si>
    <t>Nominal Median Household Income Hillsborough County</t>
  </si>
  <si>
    <t>Moodys Analytics Average Wage Increase Forecast</t>
  </si>
  <si>
    <t>Monthly Median Household Income</t>
  </si>
  <si>
    <t>Federal Reserve Economic Data</t>
  </si>
  <si>
    <t>Link: https://fred.stlouisfed.org</t>
  </si>
  <si>
    <t>Help: https://fredhelp.stlouisfed.org</t>
  </si>
  <si>
    <t>Economic Research Division</t>
  </si>
  <si>
    <t>Federal Reserve Bank of St. Louis</t>
  </si>
  <si>
    <t>MHIFL12057A052NCEN</t>
  </si>
  <si>
    <t>2-Person Household Annual Income</t>
  </si>
  <si>
    <t>2-Person Household Monthly Income</t>
  </si>
  <si>
    <t>1,000 kWh Bill</t>
  </si>
  <si>
    <t>% of Income Spent on Electric Bill</t>
  </si>
  <si>
    <t>Monthly Bill</t>
  </si>
  <si>
    <t>LIHEAP Poverty Monthly Income</t>
  </si>
  <si>
    <t>Poverty Guidelines for the 48 Contiguous States and the District of Columbia</t>
  </si>
  <si>
    <t>https://aspe.hhs.gov/topics/poverty-economic-mobility/poverty-guidelines/prior-hhs-poverty-guidelines-federal-register-references</t>
  </si>
  <si>
    <t>1 Person</t>
  </si>
  <si>
    <t>2 Persons</t>
  </si>
  <si>
    <t>3 Persons</t>
  </si>
  <si>
    <t>4 Persons</t>
  </si>
  <si>
    <t>5 Persons</t>
  </si>
  <si>
    <t>6 Persons</t>
  </si>
  <si>
    <t>7 Persons</t>
  </si>
  <si>
    <t>8 Persons</t>
  </si>
  <si>
    <t>$ For Each Additional Person (9+)</t>
  </si>
  <si>
    <t xml:space="preserve">Note: For more information about the poverty guidelines visit: http://aspe.hhs.gov/poverty.  </t>
  </si>
  <si>
    <t>Assumption</t>
  </si>
  <si>
    <t>Household size:</t>
  </si>
  <si>
    <t>100% of Federal Poverty Level</t>
  </si>
  <si>
    <t>Monthly Amount</t>
  </si>
  <si>
    <t>150% of Federal Poverty</t>
  </si>
  <si>
    <t>150% Federal Poverty Monthly Income</t>
  </si>
  <si>
    <t>Hillsborough County Median Household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</si>
</sst>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164" formatCode="&quot;$&quot;#,##0.00"/>
    <numFmt numFmtId="165" formatCode="&quot;$&quot;#,##0.00000"/>
    <numFmt numFmtId="166" formatCode="yyyy\-mm\-dd"/>
    <numFmt numFmtId="167" formatCode="&quot;$&quot;#,##0"/>
    <numFmt numFmtId="168" formatCode="0.0000%"/>
    <numFmt numFmtId="169" formatCode="&quot;$&quot;#,##0.00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rgb="FF444444"/>
      <name val="Arial"/>
      <family val="2"/>
    </font>
    <font>
      <sz val="9"/>
      <name val="Arial"/>
      <family val="2"/>
    </font>
    <font>
      <sz val="8"/>
      <color theme="1"/>
      <name val="Aptos Narrow"/>
      <family val="2"/>
      <scheme val="minor"/>
    </font>
    <font>
      <i/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>
      <alignment vertical="top"/>
    </xf>
  </cellStyleXfs>
  <cellXfs count="4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9" fontId="0" fillId="0" borderId="0" xfId="1" applyFont="1" applyAlignment="1">
      <alignment horizontal="center"/>
    </xf>
    <xf numFmtId="0" fontId="3" fillId="0" borderId="0" xfId="2"/>
    <xf numFmtId="166" fontId="3" fillId="0" borderId="0" xfId="2" applyNumberFormat="1"/>
    <xf numFmtId="167" fontId="3" fillId="0" borderId="0" xfId="2" applyNumberFormat="1" applyAlignment="1">
      <alignment horizontal="center"/>
    </xf>
    <xf numFmtId="0" fontId="3" fillId="0" borderId="0" xfId="2" applyAlignment="1">
      <alignment horizontal="center"/>
    </xf>
    <xf numFmtId="3" fontId="0" fillId="0" borderId="0" xfId="0" applyNumberFormat="1" applyAlignment="1">
      <alignment horizontal="center"/>
    </xf>
    <xf numFmtId="168" fontId="0" fillId="0" borderId="0" xfId="1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5" fontId="8" fillId="0" borderId="1" xfId="3" applyNumberFormat="1" applyFont="1" applyBorder="1" applyAlignment="1">
      <alignment vertical="center"/>
    </xf>
    <xf numFmtId="6" fontId="7" fillId="0" borderId="1" xfId="0" applyNumberFormat="1" applyFont="1" applyBorder="1" applyAlignment="1">
      <alignment horizontal="center" vertical="center" wrapText="1"/>
    </xf>
    <xf numFmtId="5" fontId="3" fillId="0" borderId="0" xfId="3" applyNumberFormat="1" applyAlignment="1"/>
    <xf numFmtId="0" fontId="9" fillId="0" borderId="0" xfId="0" applyFont="1"/>
    <xf numFmtId="0" fontId="10" fillId="0" borderId="0" xfId="0" applyFont="1"/>
    <xf numFmtId="5" fontId="0" fillId="0" borderId="0" xfId="0" applyNumberFormat="1" applyAlignment="1">
      <alignment horizontal="center"/>
    </xf>
    <xf numFmtId="9" fontId="0" fillId="0" borderId="0" xfId="1" applyFont="1"/>
    <xf numFmtId="169" fontId="0" fillId="0" borderId="0" xfId="1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2" applyBorder="1" applyAlignment="1">
      <alignment horizontal="center"/>
    </xf>
    <xf numFmtId="167" fontId="3" fillId="0" borderId="1" xfId="2" applyNumberFormat="1" applyBorder="1" applyAlignment="1">
      <alignment horizontal="center"/>
    </xf>
    <xf numFmtId="164" fontId="3" fillId="0" borderId="1" xfId="2" applyNumberFormat="1" applyBorder="1" applyAlignment="1">
      <alignment horizontal="center"/>
    </xf>
    <xf numFmtId="10" fontId="3" fillId="0" borderId="6" xfId="1" applyNumberFormat="1" applyFont="1" applyBorder="1" applyAlignment="1">
      <alignment horizontal="center"/>
    </xf>
    <xf numFmtId="0" fontId="3" fillId="0" borderId="7" xfId="2" applyBorder="1" applyAlignment="1">
      <alignment horizontal="center"/>
    </xf>
    <xf numFmtId="167" fontId="3" fillId="0" borderId="8" xfId="2" applyNumberFormat="1" applyBorder="1" applyAlignment="1">
      <alignment horizontal="center"/>
    </xf>
    <xf numFmtId="164" fontId="3" fillId="0" borderId="8" xfId="2" applyNumberFormat="1" applyBorder="1" applyAlignment="1">
      <alignment horizontal="center"/>
    </xf>
    <xf numFmtId="10" fontId="3" fillId="0" borderId="9" xfId="1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Normal" xfId="0" builtinId="0"/>
    <cellStyle name="Normal 2" xfId="2" xr:uid="{FE3F2468-A45C-4516-9F50-7978B603FCF3}"/>
    <cellStyle name="Normal 6" xfId="3" xr:uid="{8D0B0877-E473-4A6C-A7D7-D44D8EA7BBF5}"/>
    <cellStyle name="Percent" xfId="1" builtinId="5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Residential</a:t>
            </a:r>
            <a:r>
              <a:rPr lang="en-US" b="1" baseline="0">
                <a:solidFill>
                  <a:sysClr val="windowText" lastClr="000000"/>
                </a:solidFill>
              </a:rPr>
              <a:t> Monthly Bill as a % of the Health &amp; Human Services Poverty Guidelines at 100%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'LIHEAP Threshold Graph'!$C$2</c:f>
              <c:strCache>
                <c:ptCount val="1"/>
                <c:pt idx="0">
                  <c:v>Monthly Bill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numRef>
              <c:f>'LIHEAP Threshold Graph'!$B$3:$B$25</c:f>
              <c:numCache>
                <c:formatCode>General</c:formatCod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'LIHEAP Threshold Graph'!$C$3:$C$25</c:f>
              <c:numCache>
                <c:formatCode>"$"#,##0.00</c:formatCode>
                <c:ptCount val="23"/>
                <c:pt idx="0">
                  <c:v>94.143587390000008</c:v>
                </c:pt>
                <c:pt idx="1">
                  <c:v>98.666664199999985</c:v>
                </c:pt>
                <c:pt idx="2">
                  <c:v>98.071792420000008</c:v>
                </c:pt>
                <c:pt idx="3">
                  <c:v>109.61025366999999</c:v>
                </c:pt>
                <c:pt idx="4">
                  <c:v>114.54358688000002</c:v>
                </c:pt>
                <c:pt idx="5">
                  <c:v>114.37948432</c:v>
                </c:pt>
                <c:pt idx="6">
                  <c:v>113.34358691000001</c:v>
                </c:pt>
                <c:pt idx="7">
                  <c:v>112.72820231</c:v>
                </c:pt>
                <c:pt idx="8">
                  <c:v>107.01538194000001</c:v>
                </c:pt>
                <c:pt idx="9">
                  <c:v>106.89230501999999</c:v>
                </c:pt>
                <c:pt idx="10">
                  <c:v>108.25640754999999</c:v>
                </c:pt>
                <c:pt idx="11">
                  <c:v>110.14358699</c:v>
                </c:pt>
                <c:pt idx="12">
                  <c:v>108.92307419999999</c:v>
                </c:pt>
                <c:pt idx="13">
                  <c:v>106.21538196000002</c:v>
                </c:pt>
                <c:pt idx="14">
                  <c:v>104.67692045999999</c:v>
                </c:pt>
                <c:pt idx="15">
                  <c:v>107.85640755999999</c:v>
                </c:pt>
                <c:pt idx="16">
                  <c:v>99.528202639999989</c:v>
                </c:pt>
                <c:pt idx="17">
                  <c:v>102.19486923999999</c:v>
                </c:pt>
                <c:pt idx="18">
                  <c:v>118.07179192</c:v>
                </c:pt>
                <c:pt idx="19">
                  <c:v>132.17435567000001</c:v>
                </c:pt>
                <c:pt idx="20">
                  <c:v>161.12820110000004</c:v>
                </c:pt>
                <c:pt idx="21">
                  <c:v>136.44102223000002</c:v>
                </c:pt>
                <c:pt idx="22">
                  <c:v>151.44096503151363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45-4F43-956A-DB72E2A55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3850752"/>
        <c:axId val="1533851080"/>
      </c:barChart>
      <c:lineChart>
        <c:grouping val="standard"/>
        <c:varyColors val="0"/>
        <c:ser>
          <c:idx val="1"/>
          <c:order val="1"/>
          <c:tx>
            <c:strRef>
              <c:f>'LIHEAP Threshold Graph'!$D$2</c:f>
              <c:strCache>
                <c:ptCount val="1"/>
                <c:pt idx="0">
                  <c:v>% of Income Spent on Electric Bill</c:v>
                </c:pt>
              </c:strCache>
            </c:strRef>
          </c:tx>
          <c:spPr>
            <a:ln w="28575" cap="rnd">
              <a:solidFill>
                <a:srgbClr val="FFCC00"/>
              </a:solidFill>
              <a:round/>
            </a:ln>
            <a:effectLst/>
          </c:spPr>
          <c:marker>
            <c:symbol val="triangle"/>
            <c:size val="9"/>
            <c:spPr>
              <a:solidFill>
                <a:srgbClr val="FFCC00"/>
              </a:solidFill>
              <a:ln w="9525">
                <a:solidFill>
                  <a:srgbClr val="FFCC00"/>
                </a:solidFill>
              </a:ln>
              <a:effectLst/>
            </c:spPr>
          </c:marker>
          <c:cat>
            <c:numRef>
              <c:f>'LIHEAP Threshold Graph'!$B$3:$B$25</c:f>
              <c:numCache>
                <c:formatCode>General</c:formatCod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'LIHEAP Threshold Graph'!$D$3:$D$25</c:f>
              <c:numCache>
                <c:formatCode>0.00%</c:formatCode>
                <c:ptCount val="23"/>
                <c:pt idx="0">
                  <c:v>5.002431196077841E-2</c:v>
                </c:pt>
                <c:pt idx="1">
                  <c:v>5.1069878191436123E-2</c:v>
                </c:pt>
                <c:pt idx="2">
                  <c:v>5.0187875239667841E-2</c:v>
                </c:pt>
                <c:pt idx="3">
                  <c:v>5.500948707950034E-2</c:v>
                </c:pt>
                <c:pt idx="4">
                  <c:v>5.5406979209731151E-2</c:v>
                </c:pt>
                <c:pt idx="5">
                  <c:v>5.4025895666604214E-2</c:v>
                </c:pt>
                <c:pt idx="6">
                  <c:v>5.1268286909073368E-2</c:v>
                </c:pt>
                <c:pt idx="7">
                  <c:v>4.9475756497097442E-2</c:v>
                </c:pt>
                <c:pt idx="8">
                  <c:v>4.5092207447712501E-2</c:v>
                </c:pt>
                <c:pt idx="9">
                  <c:v>4.6435142517061469E-2</c:v>
                </c:pt>
                <c:pt idx="10">
                  <c:v>4.8442000965053703E-2</c:v>
                </c:pt>
                <c:pt idx="11">
                  <c:v>4.9528854312686235E-2</c:v>
                </c:pt>
                <c:pt idx="12">
                  <c:v>4.9160406589438835E-2</c:v>
                </c:pt>
                <c:pt idx="13">
                  <c:v>4.7503398383389045E-2</c:v>
                </c:pt>
                <c:pt idx="14">
                  <c:v>4.5514211127569336E-2</c:v>
                </c:pt>
                <c:pt idx="15">
                  <c:v>4.6458124509853184E-2</c:v>
                </c:pt>
                <c:pt idx="16">
                  <c:v>4.1763005513672284E-2</c:v>
                </c:pt>
                <c:pt idx="17">
                  <c:v>4.0799069494976373E-2</c:v>
                </c:pt>
                <c:pt idx="18">
                  <c:v>4.4925534372503011E-2</c:v>
                </c:pt>
                <c:pt idx="19">
                  <c:v>4.7948615981136068E-2</c:v>
                </c:pt>
                <c:pt idx="20">
                  <c:v>5.6788604710996254E-2</c:v>
                </c:pt>
                <c:pt idx="21">
                  <c:v>4.5143022050787178E-2</c:v>
                </c:pt>
                <c:pt idx="22">
                  <c:v>4.5434561237515964E-2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45-4F43-956A-DB72E2A55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7960464"/>
        <c:axId val="1537965712"/>
      </c:lineChart>
      <c:catAx>
        <c:axId val="1533850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851080"/>
        <c:crosses val="autoZero"/>
        <c:auto val="1"/>
        <c:lblAlgn val="ctr"/>
        <c:lblOffset val="100"/>
        <c:noMultiLvlLbl val="0"/>
      </c:catAx>
      <c:valAx>
        <c:axId val="1533851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TEC RS Monthly Bill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850752"/>
        <c:crosses val="autoZero"/>
        <c:crossBetween val="between"/>
      </c:valAx>
      <c:valAx>
        <c:axId val="15379657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% of Income Spent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 on Electric Bill</a:t>
                </a:r>
                <a:endParaRPr lang="en-US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7960464"/>
        <c:crosses val="max"/>
        <c:crossBetween val="between"/>
      </c:valAx>
      <c:catAx>
        <c:axId val="1537960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379657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LIHEAP Threshold</a:t>
            </a:r>
            <a:r>
              <a:rPr lang="en-US" b="1" baseline="0">
                <a:solidFill>
                  <a:sysClr val="windowText" lastClr="000000"/>
                </a:solidFill>
              </a:rPr>
              <a:t> Income Spent on Electric Bill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'LIHEAP Threshold Graph'!$D$2</c:f>
              <c:strCache>
                <c:ptCount val="1"/>
                <c:pt idx="0">
                  <c:v>% of Income Spent on Electric Bill</c:v>
                </c:pt>
              </c:strCache>
            </c:strRef>
          </c:tx>
          <c:spPr>
            <a:ln w="28575" cap="rnd">
              <a:solidFill>
                <a:srgbClr val="FFCC00"/>
              </a:solidFill>
              <a:round/>
            </a:ln>
            <a:effectLst/>
          </c:spPr>
          <c:marker>
            <c:symbol val="triangle"/>
            <c:size val="9"/>
            <c:spPr>
              <a:solidFill>
                <a:srgbClr val="FFCC00"/>
              </a:solidFill>
              <a:ln w="9525">
                <a:solidFill>
                  <a:srgbClr val="FFCC00"/>
                </a:solidFill>
              </a:ln>
              <a:effectLst/>
            </c:spPr>
          </c:marker>
          <c:cat>
            <c:numRef>
              <c:f>'LIHEAP Threshold Graph'!$B$3:$B$25</c:f>
              <c:numCache>
                <c:formatCode>General</c:formatCod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'LIHEAP Threshold Graph'!$D$3:$D$25</c:f>
              <c:numCache>
                <c:formatCode>0.00%</c:formatCode>
                <c:ptCount val="23"/>
                <c:pt idx="0">
                  <c:v>5.002431196077841E-2</c:v>
                </c:pt>
                <c:pt idx="1">
                  <c:v>5.1069878191436123E-2</c:v>
                </c:pt>
                <c:pt idx="2">
                  <c:v>5.0187875239667841E-2</c:v>
                </c:pt>
                <c:pt idx="3">
                  <c:v>5.500948707950034E-2</c:v>
                </c:pt>
                <c:pt idx="4">
                  <c:v>5.5406979209731151E-2</c:v>
                </c:pt>
                <c:pt idx="5">
                  <c:v>5.4025895666604214E-2</c:v>
                </c:pt>
                <c:pt idx="6">
                  <c:v>5.1268286909073368E-2</c:v>
                </c:pt>
                <c:pt idx="7">
                  <c:v>4.9475756497097442E-2</c:v>
                </c:pt>
                <c:pt idx="8">
                  <c:v>4.5092207447712501E-2</c:v>
                </c:pt>
                <c:pt idx="9">
                  <c:v>4.6435142517061469E-2</c:v>
                </c:pt>
                <c:pt idx="10">
                  <c:v>4.8442000965053703E-2</c:v>
                </c:pt>
                <c:pt idx="11">
                  <c:v>4.9528854312686235E-2</c:v>
                </c:pt>
                <c:pt idx="12">
                  <c:v>4.9160406589438835E-2</c:v>
                </c:pt>
                <c:pt idx="13">
                  <c:v>4.7503398383389045E-2</c:v>
                </c:pt>
                <c:pt idx="14">
                  <c:v>4.5514211127569336E-2</c:v>
                </c:pt>
                <c:pt idx="15">
                  <c:v>4.6458124509853184E-2</c:v>
                </c:pt>
                <c:pt idx="16">
                  <c:v>4.1763005513672284E-2</c:v>
                </c:pt>
                <c:pt idx="17">
                  <c:v>4.0799069494976373E-2</c:v>
                </c:pt>
                <c:pt idx="18">
                  <c:v>4.4925534372503011E-2</c:v>
                </c:pt>
                <c:pt idx="19">
                  <c:v>4.7948615981136068E-2</c:v>
                </c:pt>
                <c:pt idx="20">
                  <c:v>5.6788604710996254E-2</c:v>
                </c:pt>
                <c:pt idx="21">
                  <c:v>4.5143022050787178E-2</c:v>
                </c:pt>
                <c:pt idx="22">
                  <c:v>4.5434561237515964E-2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7F-45A0-B518-00D4BE041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3850752"/>
        <c:axId val="1533851080"/>
      </c:lineChart>
      <c:catAx>
        <c:axId val="1533850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851080"/>
        <c:crosses val="autoZero"/>
        <c:auto val="1"/>
        <c:lblAlgn val="ctr"/>
        <c:lblOffset val="100"/>
        <c:noMultiLvlLbl val="0"/>
      </c:catAx>
      <c:valAx>
        <c:axId val="1533851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/>
                    </a:solidFill>
                  </a:rPr>
                  <a:t>% of Income Spent on Electric Bill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85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Residential</a:t>
            </a:r>
            <a:r>
              <a:rPr lang="en-US" b="1" baseline="0">
                <a:solidFill>
                  <a:sysClr val="windowText" lastClr="000000"/>
                </a:solidFill>
              </a:rPr>
              <a:t> Monthly Bill as a % of the Health &amp; Human Services Poverty Guidelines at 150%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'150% Poverty Threshold Graph'!$C$2</c:f>
              <c:strCache>
                <c:ptCount val="1"/>
                <c:pt idx="0">
                  <c:v>Monthly Bill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numRef>
              <c:f>'150% Poverty Threshold Graph'!$B$3:$B$25</c:f>
              <c:numCache>
                <c:formatCode>General</c:formatCod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'150% Poverty Threshold Graph'!$C$3:$C$25</c:f>
              <c:numCache>
                <c:formatCode>"$"#,##0.00</c:formatCode>
                <c:ptCount val="23"/>
                <c:pt idx="0">
                  <c:v>94.143587390000008</c:v>
                </c:pt>
                <c:pt idx="1">
                  <c:v>98.666664199999985</c:v>
                </c:pt>
                <c:pt idx="2">
                  <c:v>98.071792420000008</c:v>
                </c:pt>
                <c:pt idx="3">
                  <c:v>109.61025366999999</c:v>
                </c:pt>
                <c:pt idx="4">
                  <c:v>114.54358688000002</c:v>
                </c:pt>
                <c:pt idx="5">
                  <c:v>114.37948432</c:v>
                </c:pt>
                <c:pt idx="6">
                  <c:v>113.34358691000001</c:v>
                </c:pt>
                <c:pt idx="7">
                  <c:v>112.72820231</c:v>
                </c:pt>
                <c:pt idx="8">
                  <c:v>107.01538194000001</c:v>
                </c:pt>
                <c:pt idx="9">
                  <c:v>106.89230501999999</c:v>
                </c:pt>
                <c:pt idx="10">
                  <c:v>108.25640754999999</c:v>
                </c:pt>
                <c:pt idx="11">
                  <c:v>110.14358699</c:v>
                </c:pt>
                <c:pt idx="12">
                  <c:v>108.92307419999999</c:v>
                </c:pt>
                <c:pt idx="13">
                  <c:v>106.21538196000002</c:v>
                </c:pt>
                <c:pt idx="14">
                  <c:v>104.67692045999999</c:v>
                </c:pt>
                <c:pt idx="15">
                  <c:v>107.85640755999999</c:v>
                </c:pt>
                <c:pt idx="16">
                  <c:v>99.528202639999989</c:v>
                </c:pt>
                <c:pt idx="17">
                  <c:v>102.19486923999999</c:v>
                </c:pt>
                <c:pt idx="18">
                  <c:v>118.07179192</c:v>
                </c:pt>
                <c:pt idx="19">
                  <c:v>132.17435567000001</c:v>
                </c:pt>
                <c:pt idx="20">
                  <c:v>161.12820110000004</c:v>
                </c:pt>
                <c:pt idx="21">
                  <c:v>136.44102223000002</c:v>
                </c:pt>
                <c:pt idx="22">
                  <c:v>151.44096503151363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CC-416B-94F4-2D1059A32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3850752"/>
        <c:axId val="1533851080"/>
      </c:barChart>
      <c:lineChart>
        <c:grouping val="standard"/>
        <c:varyColors val="0"/>
        <c:ser>
          <c:idx val="1"/>
          <c:order val="1"/>
          <c:tx>
            <c:strRef>
              <c:f>'150% Poverty Threshold Graph'!$D$2</c:f>
              <c:strCache>
                <c:ptCount val="1"/>
                <c:pt idx="0">
                  <c:v>% of Income Spent on Electric Bill</c:v>
                </c:pt>
              </c:strCache>
            </c:strRef>
          </c:tx>
          <c:spPr>
            <a:ln w="28575" cap="rnd">
              <a:solidFill>
                <a:srgbClr val="FFCC00"/>
              </a:solidFill>
              <a:round/>
            </a:ln>
            <a:effectLst/>
          </c:spPr>
          <c:marker>
            <c:symbol val="triangle"/>
            <c:size val="9"/>
            <c:spPr>
              <a:solidFill>
                <a:srgbClr val="FFCC00"/>
              </a:solidFill>
              <a:ln w="9525">
                <a:solidFill>
                  <a:srgbClr val="FFCC00"/>
                </a:solidFill>
              </a:ln>
              <a:effectLst/>
            </c:spPr>
          </c:marker>
          <c:cat>
            <c:numRef>
              <c:f>'150% Poverty Threshold Graph'!$B$3:$B$25</c:f>
              <c:numCache>
                <c:formatCode>General</c:formatCod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'150% Poverty Threshold Graph'!$D$3:$D$25</c:f>
              <c:numCache>
                <c:formatCode>0.00%</c:formatCode>
                <c:ptCount val="23"/>
                <c:pt idx="0">
                  <c:v>6.2140981775577565E-2</c:v>
                </c:pt>
                <c:pt idx="1">
                  <c:v>6.3197222866293021E-2</c:v>
                </c:pt>
                <c:pt idx="2">
                  <c:v>6.1151546325798917E-2</c:v>
                </c:pt>
                <c:pt idx="3">
                  <c:v>6.6430456769696958E-2</c:v>
                </c:pt>
                <c:pt idx="4">
                  <c:v>6.6935624181154132E-2</c:v>
                </c:pt>
                <c:pt idx="5">
                  <c:v>6.5359705325714293E-2</c:v>
                </c:pt>
                <c:pt idx="6">
                  <c:v>6.2233953004804402E-2</c:v>
                </c:pt>
                <c:pt idx="7">
                  <c:v>6.1896061666437886E-2</c:v>
                </c:pt>
                <c:pt idx="8">
                  <c:v>5.8200071755268534E-2</c:v>
                </c:pt>
                <c:pt idx="9">
                  <c:v>5.6519394590879048E-2</c:v>
                </c:pt>
                <c:pt idx="10">
                  <c:v>5.5838250186976142E-2</c:v>
                </c:pt>
                <c:pt idx="11">
                  <c:v>5.6017081749523204E-2</c:v>
                </c:pt>
                <c:pt idx="12">
                  <c:v>5.4700853333333327E-2</c:v>
                </c:pt>
                <c:pt idx="13">
                  <c:v>5.3041389243445702E-2</c:v>
                </c:pt>
                <c:pt idx="14">
                  <c:v>5.1564985448275855E-2</c:v>
                </c:pt>
                <c:pt idx="15">
                  <c:v>5.2421097234507892E-2</c:v>
                </c:pt>
                <c:pt idx="16">
                  <c:v>4.7086080492016555E-2</c:v>
                </c:pt>
                <c:pt idx="17">
                  <c:v>4.7422213104408348E-2</c:v>
                </c:pt>
                <c:pt idx="18">
                  <c:v>5.422355541676234E-2</c:v>
                </c:pt>
                <c:pt idx="19">
                  <c:v>5.7749581942108143E-2</c:v>
                </c:pt>
                <c:pt idx="20">
                  <c:v>6.5366410182555804E-2</c:v>
                </c:pt>
                <c:pt idx="21">
                  <c:v>5.3401574258317035E-2</c:v>
                </c:pt>
                <c:pt idx="22">
                  <c:v>5.7546012969624999E-2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C-416B-94F4-2D1059A32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7960464"/>
        <c:axId val="1537965712"/>
      </c:lineChart>
      <c:catAx>
        <c:axId val="1533850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851080"/>
        <c:crosses val="autoZero"/>
        <c:auto val="1"/>
        <c:lblAlgn val="ctr"/>
        <c:lblOffset val="100"/>
        <c:noMultiLvlLbl val="0"/>
      </c:catAx>
      <c:valAx>
        <c:axId val="1533851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TEC RS Monthly Bill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850752"/>
        <c:crosses val="autoZero"/>
        <c:crossBetween val="between"/>
      </c:valAx>
      <c:valAx>
        <c:axId val="15379657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% of Income Spent on Electric Bill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7960464"/>
        <c:crosses val="max"/>
        <c:crossBetween val="between"/>
      </c:valAx>
      <c:catAx>
        <c:axId val="1537960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379657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Residential</a:t>
            </a:r>
            <a:r>
              <a:rPr lang="en-US" b="1" baseline="0">
                <a:solidFill>
                  <a:sysClr val="windowText" lastClr="000000"/>
                </a:solidFill>
              </a:rPr>
              <a:t> Monthly Bill as a % of the Health &amp; Human Services Poverty Guidelines at 150%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'150% Poverty Threshold Graph'!$D$2</c:f>
              <c:strCache>
                <c:ptCount val="1"/>
                <c:pt idx="0">
                  <c:v>% of Income Spent on Electric Bill</c:v>
                </c:pt>
              </c:strCache>
            </c:strRef>
          </c:tx>
          <c:spPr>
            <a:ln w="28575" cap="rnd">
              <a:solidFill>
                <a:srgbClr val="FFCC00"/>
              </a:solidFill>
              <a:round/>
            </a:ln>
            <a:effectLst/>
          </c:spPr>
          <c:marker>
            <c:symbol val="triangle"/>
            <c:size val="9"/>
            <c:spPr>
              <a:solidFill>
                <a:srgbClr val="FFCC00"/>
              </a:solidFill>
              <a:ln w="9525">
                <a:solidFill>
                  <a:srgbClr val="FFCC00"/>
                </a:solidFill>
              </a:ln>
              <a:effectLst/>
            </c:spPr>
          </c:marker>
          <c:cat>
            <c:numRef>
              <c:f>'150% Poverty Threshold Graph'!$B$3:$B$25</c:f>
              <c:numCache>
                <c:formatCode>General</c:formatCod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'150% Poverty Threshold Graph'!$D$3:$D$25</c:f>
              <c:numCache>
                <c:formatCode>0.00%</c:formatCode>
                <c:ptCount val="23"/>
                <c:pt idx="0">
                  <c:v>6.2140981775577565E-2</c:v>
                </c:pt>
                <c:pt idx="1">
                  <c:v>6.3197222866293021E-2</c:v>
                </c:pt>
                <c:pt idx="2">
                  <c:v>6.1151546325798917E-2</c:v>
                </c:pt>
                <c:pt idx="3">
                  <c:v>6.6430456769696958E-2</c:v>
                </c:pt>
                <c:pt idx="4">
                  <c:v>6.6935624181154132E-2</c:v>
                </c:pt>
                <c:pt idx="5">
                  <c:v>6.5359705325714293E-2</c:v>
                </c:pt>
                <c:pt idx="6">
                  <c:v>6.2233953004804402E-2</c:v>
                </c:pt>
                <c:pt idx="7">
                  <c:v>6.1896061666437886E-2</c:v>
                </c:pt>
                <c:pt idx="8">
                  <c:v>5.8200071755268534E-2</c:v>
                </c:pt>
                <c:pt idx="9">
                  <c:v>5.6519394590879048E-2</c:v>
                </c:pt>
                <c:pt idx="10">
                  <c:v>5.5838250186976142E-2</c:v>
                </c:pt>
                <c:pt idx="11">
                  <c:v>5.6017081749523204E-2</c:v>
                </c:pt>
                <c:pt idx="12">
                  <c:v>5.4700853333333327E-2</c:v>
                </c:pt>
                <c:pt idx="13">
                  <c:v>5.3041389243445702E-2</c:v>
                </c:pt>
                <c:pt idx="14">
                  <c:v>5.1564985448275855E-2</c:v>
                </c:pt>
                <c:pt idx="15">
                  <c:v>5.2421097234507892E-2</c:v>
                </c:pt>
                <c:pt idx="16">
                  <c:v>4.7086080492016555E-2</c:v>
                </c:pt>
                <c:pt idx="17">
                  <c:v>4.7422213104408348E-2</c:v>
                </c:pt>
                <c:pt idx="18">
                  <c:v>5.422355541676234E-2</c:v>
                </c:pt>
                <c:pt idx="19">
                  <c:v>5.7749581942108143E-2</c:v>
                </c:pt>
                <c:pt idx="20">
                  <c:v>6.5366410182555804E-2</c:v>
                </c:pt>
                <c:pt idx="21">
                  <c:v>5.3401574258317035E-2</c:v>
                </c:pt>
                <c:pt idx="22">
                  <c:v>5.7546012969624999E-2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6-4D45-9D6D-4F4907E77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3850752"/>
        <c:axId val="1533851080"/>
      </c:lineChart>
      <c:catAx>
        <c:axId val="1533850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851080"/>
        <c:crosses val="autoZero"/>
        <c:auto val="1"/>
        <c:lblAlgn val="ctr"/>
        <c:lblOffset val="100"/>
        <c:noMultiLvlLbl val="0"/>
      </c:catAx>
      <c:valAx>
        <c:axId val="1533851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TEC RS Monthly Bill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85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Residential</a:t>
            </a:r>
            <a:r>
              <a:rPr lang="en-US" b="1" baseline="0">
                <a:solidFill>
                  <a:sysClr val="windowText" lastClr="000000"/>
                </a:solidFill>
              </a:rPr>
              <a:t> Monthly Bill as a % of Hillsborough County Median Household Income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'Median Household Income Graph'!$C$2</c:f>
              <c:strCache>
                <c:ptCount val="1"/>
                <c:pt idx="0">
                  <c:v>Monthly Bill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numRef>
              <c:f>'150% Poverty Threshold Graph'!$B$3:$B$25</c:f>
              <c:numCache>
                <c:formatCode>General</c:formatCod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'Median Household Income Graph'!$C$3:$C$25</c:f>
              <c:numCache>
                <c:formatCode>"$"#,##0.00</c:formatCode>
                <c:ptCount val="23"/>
                <c:pt idx="0">
                  <c:v>94.143587390000008</c:v>
                </c:pt>
                <c:pt idx="1">
                  <c:v>98.666664199999985</c:v>
                </c:pt>
                <c:pt idx="2">
                  <c:v>98.071792420000008</c:v>
                </c:pt>
                <c:pt idx="3">
                  <c:v>109.61025366999999</c:v>
                </c:pt>
                <c:pt idx="4">
                  <c:v>114.54358688000002</c:v>
                </c:pt>
                <c:pt idx="5">
                  <c:v>114.37948432</c:v>
                </c:pt>
                <c:pt idx="6">
                  <c:v>113.34358691000001</c:v>
                </c:pt>
                <c:pt idx="7">
                  <c:v>112.72820231</c:v>
                </c:pt>
                <c:pt idx="8">
                  <c:v>107.01538194000001</c:v>
                </c:pt>
                <c:pt idx="9">
                  <c:v>106.89230501999999</c:v>
                </c:pt>
                <c:pt idx="10">
                  <c:v>108.25640754999999</c:v>
                </c:pt>
                <c:pt idx="11">
                  <c:v>110.14358699</c:v>
                </c:pt>
                <c:pt idx="12">
                  <c:v>108.92307419999999</c:v>
                </c:pt>
                <c:pt idx="13">
                  <c:v>106.21538196000002</c:v>
                </c:pt>
                <c:pt idx="14">
                  <c:v>104.67692045999999</c:v>
                </c:pt>
                <c:pt idx="15">
                  <c:v>107.85640755999999</c:v>
                </c:pt>
                <c:pt idx="16">
                  <c:v>99.528202639999989</c:v>
                </c:pt>
                <c:pt idx="17">
                  <c:v>102.19486923999999</c:v>
                </c:pt>
                <c:pt idx="18">
                  <c:v>118.07179192</c:v>
                </c:pt>
                <c:pt idx="19">
                  <c:v>132.17435567000001</c:v>
                </c:pt>
                <c:pt idx="20">
                  <c:v>161.12820110000004</c:v>
                </c:pt>
                <c:pt idx="21">
                  <c:v>136.44102223000002</c:v>
                </c:pt>
                <c:pt idx="22">
                  <c:v>151.44096503151363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27-424C-BD7A-1707D63FF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3850752"/>
        <c:axId val="1533851080"/>
      </c:barChart>
      <c:lineChart>
        <c:grouping val="standard"/>
        <c:varyColors val="0"/>
        <c:ser>
          <c:idx val="1"/>
          <c:order val="1"/>
          <c:tx>
            <c:strRef>
              <c:f>'Median Household Income Graph'!$D$2</c:f>
              <c:strCache>
                <c:ptCount val="1"/>
                <c:pt idx="0">
                  <c:v>% of Income Spent on Electric Bill</c:v>
                </c:pt>
              </c:strCache>
            </c:strRef>
          </c:tx>
          <c:spPr>
            <a:ln w="28575" cap="rnd">
              <a:solidFill>
                <a:srgbClr val="FFCC00"/>
              </a:solidFill>
              <a:round/>
            </a:ln>
            <a:effectLst/>
          </c:spPr>
          <c:marker>
            <c:symbol val="triangle"/>
            <c:size val="9"/>
            <c:spPr>
              <a:solidFill>
                <a:srgbClr val="FFCC00"/>
              </a:solidFill>
              <a:ln w="9525">
                <a:solidFill>
                  <a:srgbClr val="FFCC00"/>
                </a:solidFill>
              </a:ln>
              <a:effectLst/>
            </c:spPr>
          </c:marker>
          <c:cat>
            <c:numRef>
              <c:f>'150% Poverty Threshold Graph'!$B$3:$B$25</c:f>
              <c:numCache>
                <c:formatCode>General</c:formatCod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'Median Household Income Graph'!$D$3:$D$25</c:f>
              <c:numCache>
                <c:formatCode>0.00%</c:formatCode>
                <c:ptCount val="23"/>
                <c:pt idx="0">
                  <c:v>2.6088191591538891E-2</c:v>
                </c:pt>
                <c:pt idx="1">
                  <c:v>2.6399107478260866E-2</c:v>
                </c:pt>
                <c:pt idx="2">
                  <c:v>2.610375097684323E-2</c:v>
                </c:pt>
                <c:pt idx="3">
                  <c:v>2.8134650468225279E-2</c:v>
                </c:pt>
                <c:pt idx="4">
                  <c:v>2.7226365109636531E-2</c:v>
                </c:pt>
                <c:pt idx="5">
                  <c:v>2.7582368309955391E-2</c:v>
                </c:pt>
                <c:pt idx="6">
                  <c:v>2.8859577816630955E-2</c:v>
                </c:pt>
                <c:pt idx="7">
                  <c:v>2.9379893311035337E-2</c:v>
                </c:pt>
                <c:pt idx="8">
                  <c:v>2.7562340815590662E-2</c:v>
                </c:pt>
                <c:pt idx="9">
                  <c:v>2.7564955951347399E-2</c:v>
                </c:pt>
                <c:pt idx="10">
                  <c:v>2.6238676845081802E-2</c:v>
                </c:pt>
                <c:pt idx="11">
                  <c:v>2.6039699040151309E-2</c:v>
                </c:pt>
                <c:pt idx="12">
                  <c:v>2.5277062278089339E-2</c:v>
                </c:pt>
                <c:pt idx="13">
                  <c:v>2.3383011677337688E-2</c:v>
                </c:pt>
                <c:pt idx="14">
                  <c:v>2.2946658729654186E-2</c:v>
                </c:pt>
                <c:pt idx="15">
                  <c:v>2.2177085566045817E-2</c:v>
                </c:pt>
                <c:pt idx="16">
                  <c:v>1.9536722092486868E-2</c:v>
                </c:pt>
                <c:pt idx="17">
                  <c:v>1.8788124017649222E-2</c:v>
                </c:pt>
                <c:pt idx="18">
                  <c:v>2.1526960756024189E-2</c:v>
                </c:pt>
                <c:pt idx="19">
                  <c:v>2.1407354038142288E-2</c:v>
                </c:pt>
                <c:pt idx="20">
                  <c:v>2.5231800959018891E-2</c:v>
                </c:pt>
                <c:pt idx="21">
                  <c:v>2.0537328096137487E-2</c:v>
                </c:pt>
                <c:pt idx="22">
                  <c:v>2.1874317654566419E-2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27-424C-BD7A-1707D63FF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7960464"/>
        <c:axId val="1537965712"/>
      </c:lineChart>
      <c:catAx>
        <c:axId val="1533850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851080"/>
        <c:crosses val="autoZero"/>
        <c:auto val="1"/>
        <c:lblAlgn val="ctr"/>
        <c:lblOffset val="100"/>
        <c:noMultiLvlLbl val="0"/>
      </c:catAx>
      <c:valAx>
        <c:axId val="1533851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TEC RS Monthly Bill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850752"/>
        <c:crosses val="autoZero"/>
        <c:crossBetween val="between"/>
      </c:valAx>
      <c:valAx>
        <c:axId val="1537965712"/>
        <c:scaling>
          <c:orientation val="minMax"/>
          <c:max val="4.5000000000000012E-2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% of Income Spent on Electric Bill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7960464"/>
        <c:crosses val="max"/>
        <c:crossBetween val="between"/>
      </c:valAx>
      <c:catAx>
        <c:axId val="1537960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379657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Residential</a:t>
            </a:r>
            <a:r>
              <a:rPr lang="en-US" b="1" baseline="0">
                <a:solidFill>
                  <a:sysClr val="windowText" lastClr="000000"/>
                </a:solidFill>
              </a:rPr>
              <a:t> Monthly Bill as a % of Hillsborough County Median Household Income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'Median Household Income Graph'!$D$2</c:f>
              <c:strCache>
                <c:ptCount val="1"/>
                <c:pt idx="0">
                  <c:v>% of Income Spent on Electric Bill</c:v>
                </c:pt>
              </c:strCache>
            </c:strRef>
          </c:tx>
          <c:spPr>
            <a:ln w="28575" cap="rnd">
              <a:solidFill>
                <a:srgbClr val="FFCC00"/>
              </a:solidFill>
              <a:round/>
            </a:ln>
            <a:effectLst/>
          </c:spPr>
          <c:marker>
            <c:symbol val="triangle"/>
            <c:size val="9"/>
            <c:spPr>
              <a:solidFill>
                <a:srgbClr val="FFCC00"/>
              </a:solidFill>
              <a:ln w="9525">
                <a:solidFill>
                  <a:srgbClr val="FFCC00"/>
                </a:solidFill>
              </a:ln>
              <a:effectLst/>
            </c:spPr>
          </c:marker>
          <c:cat>
            <c:numRef>
              <c:f>'150% Poverty Threshold Graph'!$B$3:$B$25</c:f>
              <c:numCache>
                <c:formatCode>General</c:formatCode>
                <c:ptCount val="23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2025</c:v>
                </c:pt>
              </c:numCache>
            </c:numRef>
          </c:cat>
          <c:val>
            <c:numRef>
              <c:f>'Median Household Income Graph'!$D$3:$D$25</c:f>
              <c:numCache>
                <c:formatCode>0.00%</c:formatCode>
                <c:ptCount val="23"/>
                <c:pt idx="0">
                  <c:v>2.6088191591538891E-2</c:v>
                </c:pt>
                <c:pt idx="1">
                  <c:v>2.6399107478260866E-2</c:v>
                </c:pt>
                <c:pt idx="2">
                  <c:v>2.610375097684323E-2</c:v>
                </c:pt>
                <c:pt idx="3">
                  <c:v>2.8134650468225279E-2</c:v>
                </c:pt>
                <c:pt idx="4">
                  <c:v>2.7226365109636531E-2</c:v>
                </c:pt>
                <c:pt idx="5">
                  <c:v>2.7582368309955391E-2</c:v>
                </c:pt>
                <c:pt idx="6">
                  <c:v>2.8859577816630955E-2</c:v>
                </c:pt>
                <c:pt idx="7">
                  <c:v>2.9379893311035337E-2</c:v>
                </c:pt>
                <c:pt idx="8">
                  <c:v>2.7562340815590662E-2</c:v>
                </c:pt>
                <c:pt idx="9">
                  <c:v>2.7564955951347399E-2</c:v>
                </c:pt>
                <c:pt idx="10">
                  <c:v>2.6238676845081802E-2</c:v>
                </c:pt>
                <c:pt idx="11">
                  <c:v>2.6039699040151309E-2</c:v>
                </c:pt>
                <c:pt idx="12">
                  <c:v>2.5277062278089339E-2</c:v>
                </c:pt>
                <c:pt idx="13">
                  <c:v>2.3383011677337688E-2</c:v>
                </c:pt>
                <c:pt idx="14">
                  <c:v>2.2946658729654186E-2</c:v>
                </c:pt>
                <c:pt idx="15">
                  <c:v>2.2177085566045817E-2</c:v>
                </c:pt>
                <c:pt idx="16">
                  <c:v>1.9536722092486868E-2</c:v>
                </c:pt>
                <c:pt idx="17">
                  <c:v>1.8788124017649222E-2</c:v>
                </c:pt>
                <c:pt idx="18">
                  <c:v>2.1526960756024189E-2</c:v>
                </c:pt>
                <c:pt idx="19">
                  <c:v>2.1407354038142288E-2</c:v>
                </c:pt>
                <c:pt idx="20">
                  <c:v>2.5231800959018891E-2</c:v>
                </c:pt>
                <c:pt idx="21">
                  <c:v>2.0537328096137487E-2</c:v>
                </c:pt>
                <c:pt idx="22">
                  <c:v>2.1874317654566419E-2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5-4C84-B52D-4F3B0BE9F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3850752"/>
        <c:axId val="1533851080"/>
      </c:lineChart>
      <c:catAx>
        <c:axId val="1533850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851080"/>
        <c:crosses val="autoZero"/>
        <c:auto val="1"/>
        <c:lblAlgn val="ctr"/>
        <c:lblOffset val="100"/>
        <c:noMultiLvlLbl val="0"/>
      </c:catAx>
      <c:valAx>
        <c:axId val="1533851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/>
                    </a:solidFill>
                  </a:rPr>
                  <a:t>% of Income Spent on Electric Bill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385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19</xdr:col>
      <xdr:colOff>455735</xdr:colOff>
      <xdr:row>30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4EF883F-02F8-424C-A02D-9D420CC86F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32</xdr:row>
      <xdr:rowOff>0</xdr:rowOff>
    </xdr:from>
    <xdr:to>
      <xdr:col>19</xdr:col>
      <xdr:colOff>455735</xdr:colOff>
      <xdr:row>60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A6FC29-6ED7-481D-A2DF-A647CF461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19</xdr:col>
      <xdr:colOff>455735</xdr:colOff>
      <xdr:row>30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633232-6EFE-4E1C-8F57-89DED8CF78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33</xdr:row>
      <xdr:rowOff>0</xdr:rowOff>
    </xdr:from>
    <xdr:to>
      <xdr:col>19</xdr:col>
      <xdr:colOff>455735</xdr:colOff>
      <xdr:row>61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D4ACFA-FC21-4F91-83A4-168C0749AF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19</xdr:col>
      <xdr:colOff>455735</xdr:colOff>
      <xdr:row>30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7A3C48-BCE0-47E0-9380-DA33293F91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33</xdr:row>
      <xdr:rowOff>0</xdr:rowOff>
    </xdr:from>
    <xdr:to>
      <xdr:col>19</xdr:col>
      <xdr:colOff>455735</xdr:colOff>
      <xdr:row>61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8E06DEC-F04B-4F2E-93F6-43F858CC2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759F6-8FA3-4090-BD9D-DCA5569F5447}">
  <dimension ref="B2:H26"/>
  <sheetViews>
    <sheetView workbookViewId="0">
      <selection activeCell="H25" sqref="H25"/>
    </sheetView>
  </sheetViews>
  <sheetFormatPr defaultRowHeight="15" x14ac:dyDescent="0.25"/>
  <cols>
    <col min="3" max="3" width="13.85546875" bestFit="1" customWidth="1"/>
    <col min="5" max="5" width="41.140625" bestFit="1" customWidth="1"/>
  </cols>
  <sheetData>
    <row r="2" spans="2:8" x14ac:dyDescent="0.25">
      <c r="B2" s="1" t="s">
        <v>0</v>
      </c>
      <c r="C2" s="1" t="s">
        <v>1</v>
      </c>
      <c r="D2" s="1" t="s">
        <v>2</v>
      </c>
      <c r="E2" s="1" t="s">
        <v>3</v>
      </c>
      <c r="G2" s="1" t="s">
        <v>4</v>
      </c>
      <c r="H2" s="1" t="s">
        <v>5</v>
      </c>
    </row>
    <row r="3" spans="2:8" x14ac:dyDescent="0.25">
      <c r="B3" s="3">
        <v>2003</v>
      </c>
      <c r="C3" s="12">
        <v>8245475236</v>
      </c>
      <c r="D3" s="12">
        <f>531343.666666667*12</f>
        <v>6376124.0000000037</v>
      </c>
      <c r="E3" s="12">
        <f>+C3/D3</f>
        <v>1293.1798747954078</v>
      </c>
      <c r="G3" s="12">
        <f>+IF(E3&gt;1000,1000,E3)</f>
        <v>1000</v>
      </c>
      <c r="H3" s="12">
        <v>0</v>
      </c>
    </row>
    <row r="4" spans="2:8" x14ac:dyDescent="0.25">
      <c r="B4" s="3">
        <v>2004</v>
      </c>
      <c r="C4" s="12">
        <v>8273630394</v>
      </c>
      <c r="D4" s="12">
        <v>6532681.9999999981</v>
      </c>
      <c r="E4" s="12">
        <f t="shared" ref="E4:E25" si="0">+C4/D4</f>
        <v>1266.498261204204</v>
      </c>
      <c r="G4" s="12">
        <f t="shared" ref="G4:G22" si="1">+IF(E4&gt;1000,1000,E4)</f>
        <v>1000</v>
      </c>
      <c r="H4" s="12">
        <v>0</v>
      </c>
    </row>
    <row r="5" spans="2:8" x14ac:dyDescent="0.25">
      <c r="B5" s="3">
        <v>2005</v>
      </c>
      <c r="C5" s="12">
        <v>8542092969</v>
      </c>
      <c r="D5" s="12">
        <v>6704928</v>
      </c>
      <c r="E5" s="12">
        <f t="shared" si="0"/>
        <v>1274.0021919698468</v>
      </c>
      <c r="G5" s="12">
        <f t="shared" si="1"/>
        <v>1000</v>
      </c>
      <c r="H5" s="12">
        <v>0</v>
      </c>
    </row>
    <row r="6" spans="2:8" x14ac:dyDescent="0.25">
      <c r="B6" s="3">
        <v>2006</v>
      </c>
      <c r="C6" s="12">
        <v>8698754119</v>
      </c>
      <c r="D6" s="12">
        <v>6899926</v>
      </c>
      <c r="E6" s="12">
        <f t="shared" si="0"/>
        <v>1260.7025233314096</v>
      </c>
      <c r="G6" s="12">
        <f t="shared" si="1"/>
        <v>1000</v>
      </c>
      <c r="H6" s="12">
        <v>0</v>
      </c>
    </row>
    <row r="7" spans="2:8" x14ac:dyDescent="0.25">
      <c r="B7" s="3">
        <v>2007</v>
      </c>
      <c r="C7" s="12">
        <v>8850178021</v>
      </c>
      <c r="D7" s="12">
        <v>7040356</v>
      </c>
      <c r="E7" s="12">
        <f t="shared" si="0"/>
        <v>1257.0639923606136</v>
      </c>
      <c r="G7" s="12">
        <f t="shared" si="1"/>
        <v>1000</v>
      </c>
      <c r="H7" s="12">
        <v>0</v>
      </c>
    </row>
    <row r="8" spans="2:8" x14ac:dyDescent="0.25">
      <c r="B8" s="3">
        <v>2008</v>
      </c>
      <c r="C8" s="12">
        <v>8526427264</v>
      </c>
      <c r="D8" s="12">
        <v>7050686</v>
      </c>
      <c r="E8" s="12">
        <f t="shared" si="0"/>
        <v>1209.3046356056702</v>
      </c>
      <c r="G8" s="12">
        <f t="shared" si="1"/>
        <v>1000</v>
      </c>
      <c r="H8" s="12">
        <v>0</v>
      </c>
    </row>
    <row r="9" spans="2:8" x14ac:dyDescent="0.25">
      <c r="B9" s="3">
        <v>2009</v>
      </c>
      <c r="C9" s="12">
        <v>8650203667</v>
      </c>
      <c r="D9" s="12">
        <v>7050505</v>
      </c>
      <c r="E9" s="12">
        <f t="shared" si="0"/>
        <v>1226.8913598387633</v>
      </c>
      <c r="G9" s="12">
        <f t="shared" si="1"/>
        <v>1000</v>
      </c>
      <c r="H9" s="12">
        <v>0</v>
      </c>
    </row>
    <row r="10" spans="2:8" x14ac:dyDescent="0.25">
      <c r="B10" s="3">
        <v>2010</v>
      </c>
      <c r="C10" s="12">
        <v>9148659467</v>
      </c>
      <c r="D10" s="12">
        <v>7089308</v>
      </c>
      <c r="E10" s="12">
        <f t="shared" si="0"/>
        <v>1290.4869511946722</v>
      </c>
      <c r="G10" s="12">
        <f t="shared" si="1"/>
        <v>1000</v>
      </c>
      <c r="H10" s="12">
        <v>0</v>
      </c>
    </row>
    <row r="11" spans="2:8" x14ac:dyDescent="0.25">
      <c r="B11" s="3">
        <v>2011</v>
      </c>
      <c r="C11" s="12">
        <v>8672237587</v>
      </c>
      <c r="D11" s="12">
        <v>7135599</v>
      </c>
      <c r="E11" s="12">
        <f t="shared" si="0"/>
        <v>1215.3482261264962</v>
      </c>
      <c r="G11" s="12">
        <f t="shared" si="1"/>
        <v>1000</v>
      </c>
      <c r="H11" s="12">
        <v>0</v>
      </c>
    </row>
    <row r="12" spans="2:8" x14ac:dyDescent="0.25">
      <c r="B12" s="3">
        <v>2012</v>
      </c>
      <c r="C12" s="12">
        <v>8341421275</v>
      </c>
      <c r="D12" s="12">
        <v>7223434</v>
      </c>
      <c r="E12" s="12">
        <f t="shared" si="0"/>
        <v>1154.7722696711842</v>
      </c>
      <c r="G12" s="12">
        <f t="shared" si="1"/>
        <v>1000</v>
      </c>
      <c r="H12" s="12">
        <v>0</v>
      </c>
    </row>
    <row r="13" spans="2:8" x14ac:dyDescent="0.25">
      <c r="B13" s="3">
        <v>2013</v>
      </c>
      <c r="C13" s="12">
        <v>8414949443</v>
      </c>
      <c r="D13" s="12">
        <v>7338410</v>
      </c>
      <c r="E13" s="12">
        <f t="shared" si="0"/>
        <v>1146.6992772276283</v>
      </c>
      <c r="G13" s="12">
        <f t="shared" si="1"/>
        <v>1000</v>
      </c>
      <c r="H13" s="12">
        <v>0</v>
      </c>
    </row>
    <row r="14" spans="2:8" x14ac:dyDescent="0.25">
      <c r="B14" s="3">
        <v>2014</v>
      </c>
      <c r="C14" s="12">
        <v>8589156276</v>
      </c>
      <c r="D14" s="12">
        <v>7457655</v>
      </c>
      <c r="E14" s="12">
        <f t="shared" si="0"/>
        <v>1151.7234674974909</v>
      </c>
      <c r="G14" s="12">
        <f t="shared" si="1"/>
        <v>1000</v>
      </c>
      <c r="H14" s="12">
        <v>0</v>
      </c>
    </row>
    <row r="15" spans="2:8" x14ac:dyDescent="0.25">
      <c r="B15" s="3">
        <v>2015</v>
      </c>
      <c r="C15" s="12">
        <v>8959973129</v>
      </c>
      <c r="D15" s="12">
        <v>7584741</v>
      </c>
      <c r="E15" s="12">
        <f t="shared" si="0"/>
        <v>1181.3156347724992</v>
      </c>
      <c r="G15" s="12">
        <f t="shared" si="1"/>
        <v>1000</v>
      </c>
      <c r="H15" s="12">
        <v>0</v>
      </c>
    </row>
    <row r="16" spans="2:8" x14ac:dyDescent="0.25">
      <c r="B16" s="3">
        <v>2016</v>
      </c>
      <c r="C16" s="12">
        <v>8491530219</v>
      </c>
      <c r="D16" s="12">
        <v>7707062</v>
      </c>
      <c r="E16" s="12">
        <f t="shared" si="0"/>
        <v>1101.7856375101173</v>
      </c>
      <c r="G16" s="12">
        <f t="shared" si="1"/>
        <v>1000</v>
      </c>
      <c r="H16" s="12">
        <v>0</v>
      </c>
    </row>
    <row r="17" spans="2:8" x14ac:dyDescent="0.25">
      <c r="B17" s="3">
        <v>2017</v>
      </c>
      <c r="C17" s="12">
        <v>8935045751</v>
      </c>
      <c r="D17" s="12">
        <v>7864480</v>
      </c>
      <c r="E17" s="12">
        <f t="shared" si="0"/>
        <v>1136.1267052621406</v>
      </c>
      <c r="G17" s="12">
        <f t="shared" si="1"/>
        <v>1000</v>
      </c>
      <c r="H17" s="12">
        <v>0</v>
      </c>
    </row>
    <row r="18" spans="2:8" x14ac:dyDescent="0.25">
      <c r="B18" s="3">
        <v>2018</v>
      </c>
      <c r="C18" s="12">
        <v>9313545727</v>
      </c>
      <c r="D18" s="12">
        <v>7992593</v>
      </c>
      <c r="E18" s="12">
        <f t="shared" si="0"/>
        <v>1165.2721121918757</v>
      </c>
      <c r="G18" s="12">
        <f t="shared" si="1"/>
        <v>1000</v>
      </c>
      <c r="H18" s="12">
        <v>0</v>
      </c>
    </row>
    <row r="19" spans="2:8" x14ac:dyDescent="0.25">
      <c r="B19" s="3">
        <v>2019</v>
      </c>
      <c r="C19" s="12">
        <v>9476561842</v>
      </c>
      <c r="D19" s="12">
        <v>8164297</v>
      </c>
      <c r="E19" s="12">
        <f t="shared" si="0"/>
        <v>1160.7321294166541</v>
      </c>
      <c r="G19" s="12">
        <f t="shared" si="1"/>
        <v>1000</v>
      </c>
      <c r="H19" s="12">
        <v>0</v>
      </c>
    </row>
    <row r="20" spans="2:8" x14ac:dyDescent="0.25">
      <c r="B20" s="3">
        <v>2020</v>
      </c>
      <c r="C20" s="12">
        <v>10008132858</v>
      </c>
      <c r="D20" s="12">
        <v>8321547</v>
      </c>
      <c r="E20" s="12">
        <f t="shared" si="0"/>
        <v>1202.6769611467676</v>
      </c>
      <c r="G20" s="12">
        <f t="shared" si="1"/>
        <v>1000</v>
      </c>
      <c r="H20" s="12">
        <v>0</v>
      </c>
    </row>
    <row r="21" spans="2:8" x14ac:dyDescent="0.25">
      <c r="B21" s="3">
        <v>2021</v>
      </c>
      <c r="C21" s="12">
        <v>9838741525</v>
      </c>
      <c r="D21" s="12">
        <v>8501462</v>
      </c>
      <c r="E21" s="12">
        <f t="shared" si="0"/>
        <v>1157.2999473502323</v>
      </c>
      <c r="G21" s="12">
        <f t="shared" si="1"/>
        <v>1000</v>
      </c>
      <c r="H21" s="12">
        <v>0</v>
      </c>
    </row>
    <row r="22" spans="2:8" x14ac:dyDescent="0.25">
      <c r="B22" s="3">
        <v>2022</v>
      </c>
      <c r="C22" s="12">
        <v>10017373288</v>
      </c>
      <c r="D22" s="12">
        <v>8701461</v>
      </c>
      <c r="E22" s="12">
        <f t="shared" si="0"/>
        <v>1151.2288899530779</v>
      </c>
      <c r="G22" s="12">
        <f t="shared" si="1"/>
        <v>1000</v>
      </c>
      <c r="H22" s="12">
        <v>0</v>
      </c>
    </row>
    <row r="23" spans="2:8" x14ac:dyDescent="0.25">
      <c r="B23" s="3">
        <v>2023</v>
      </c>
      <c r="C23" s="12">
        <v>10220198287</v>
      </c>
      <c r="D23" s="12">
        <v>8863543</v>
      </c>
      <c r="E23" s="12">
        <f t="shared" si="0"/>
        <v>1153.0601574336583</v>
      </c>
      <c r="G23" s="12">
        <v>1000</v>
      </c>
      <c r="H23" s="12">
        <v>0</v>
      </c>
    </row>
    <row r="24" spans="2:8" x14ac:dyDescent="0.25">
      <c r="B24" s="3">
        <v>2024</v>
      </c>
      <c r="C24" s="12">
        <v>10111525126.519999</v>
      </c>
      <c r="D24" s="12">
        <f>751582.831666667*12</f>
        <v>9018993.9800000042</v>
      </c>
      <c r="E24" s="12">
        <f t="shared" si="0"/>
        <v>1121.1366976120316</v>
      </c>
      <c r="G24" s="12">
        <v>1000</v>
      </c>
      <c r="H24" s="12">
        <v>0</v>
      </c>
    </row>
    <row r="25" spans="2:8" x14ac:dyDescent="0.25">
      <c r="B25" s="3">
        <v>2025</v>
      </c>
      <c r="C25" s="12">
        <v>10209657234.390003</v>
      </c>
      <c r="D25" s="12">
        <f>764677.29*12</f>
        <v>9176127.4800000004</v>
      </c>
      <c r="E25" s="12">
        <f t="shared" si="0"/>
        <v>1112.6324537930245</v>
      </c>
      <c r="G25" s="12">
        <v>1000</v>
      </c>
      <c r="H25" s="12">
        <v>0</v>
      </c>
    </row>
    <row r="26" spans="2:8" x14ac:dyDescent="0.25">
      <c r="B26" s="3"/>
      <c r="C26" s="12"/>
      <c r="D26" s="12"/>
      <c r="E26" s="12"/>
      <c r="G26" s="12"/>
      <c r="H26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1AF2E-E5A7-4A83-910F-40121828248C}">
  <dimension ref="B2:U29"/>
  <sheetViews>
    <sheetView workbookViewId="0">
      <selection activeCell="P23" sqref="P23"/>
    </sheetView>
  </sheetViews>
  <sheetFormatPr defaultRowHeight="15" x14ac:dyDescent="0.25"/>
  <cols>
    <col min="2" max="2" width="14" style="3" bestFit="1" customWidth="1"/>
    <col min="3" max="3" width="16.28515625" style="3" bestFit="1" customWidth="1"/>
    <col min="4" max="4" width="24.42578125" style="3" bestFit="1" customWidth="1"/>
    <col min="5" max="5" width="25.5703125" style="3" bestFit="1" customWidth="1"/>
    <col min="6" max="6" width="24.42578125" style="3" bestFit="1" customWidth="1"/>
    <col min="7" max="7" width="25.5703125" style="3" bestFit="1" customWidth="1"/>
    <col min="8" max="8" width="15.140625" style="3" bestFit="1" customWidth="1"/>
    <col min="9" max="9" width="20.85546875" style="3" bestFit="1" customWidth="1"/>
    <col min="10" max="10" width="19.5703125" style="3" bestFit="1" customWidth="1"/>
    <col min="11" max="11" width="10.85546875" style="3" bestFit="1" customWidth="1"/>
    <col min="12" max="12" width="12.5703125" style="3" bestFit="1" customWidth="1"/>
    <col min="13" max="13" width="16" style="3" bestFit="1" customWidth="1"/>
    <col min="14" max="14" width="15.28515625" style="3" bestFit="1" customWidth="1"/>
    <col min="15" max="15" width="9.140625" style="3"/>
    <col min="16" max="16" width="16.5703125" style="3" bestFit="1" customWidth="1"/>
    <col min="17" max="17" width="10.140625" style="3" bestFit="1" customWidth="1"/>
    <col min="18" max="21" width="9.140625" style="3"/>
  </cols>
  <sheetData>
    <row r="2" spans="2:21" s="2" customFormat="1" x14ac:dyDescent="0.25">
      <c r="B2" s="1" t="s">
        <v>0</v>
      </c>
      <c r="C2" s="1" t="s">
        <v>6</v>
      </c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  <c r="J2" s="1" t="s">
        <v>13</v>
      </c>
      <c r="K2" s="1" t="s">
        <v>14</v>
      </c>
      <c r="L2" s="1" t="s">
        <v>15</v>
      </c>
      <c r="M2" s="1" t="s">
        <v>16</v>
      </c>
      <c r="N2" s="1" t="s">
        <v>17</v>
      </c>
      <c r="O2" s="1"/>
      <c r="P2" s="1" t="s">
        <v>18</v>
      </c>
      <c r="Q2" s="1"/>
      <c r="R2" s="1"/>
      <c r="S2" s="1"/>
      <c r="T2" s="1"/>
      <c r="U2" s="1"/>
    </row>
    <row r="3" spans="2:21" x14ac:dyDescent="0.25">
      <c r="B3" s="3">
        <v>2003</v>
      </c>
      <c r="C3" s="4">
        <v>8.5</v>
      </c>
      <c r="D3" s="5">
        <v>4.342E-2</v>
      </c>
      <c r="E3" s="5">
        <v>4.342E-2</v>
      </c>
      <c r="F3" s="5">
        <v>3.4500000000000003E-2</v>
      </c>
      <c r="G3" s="5">
        <v>3.4500000000000003E-2</v>
      </c>
      <c r="H3" s="5">
        <v>2.7699999999999999E-3</v>
      </c>
      <c r="I3" s="5">
        <v>1.4400000000000001E-3</v>
      </c>
      <c r="J3" s="5">
        <v>1.16E-3</v>
      </c>
      <c r="K3" s="5"/>
      <c r="L3" s="5"/>
      <c r="M3" s="5"/>
      <c r="N3" s="13">
        <v>2.5641000000000001E-2</v>
      </c>
      <c r="P3" s="4">
        <f>+(C3+(SUM(D3,F3)*'Residential Use per Customer'!G3)+(SUM('Residential Rates'!E3,'Residential Rates'!G3)*'Residential Use per Customer'!H3)+(SUM('Residential Rates'!H3:M3)*(SUM('Residential Use per Customer'!G3:H3))))*(1+'Residential Rates'!N3)</f>
        <v>94.143587390000008</v>
      </c>
      <c r="Q3" s="4"/>
      <c r="R3" s="7"/>
    </row>
    <row r="4" spans="2:21" x14ac:dyDescent="0.25">
      <c r="B4" s="3">
        <v>2004</v>
      </c>
      <c r="C4" s="4">
        <v>8.5</v>
      </c>
      <c r="D4" s="5">
        <v>4.342E-2</v>
      </c>
      <c r="E4" s="5">
        <v>4.342E-2</v>
      </c>
      <c r="F4" s="5">
        <v>3.9390000000000001E-2</v>
      </c>
      <c r="G4" s="5">
        <v>3.9390000000000001E-2</v>
      </c>
      <c r="H4" s="5">
        <v>2.6700000000000001E-3</v>
      </c>
      <c r="I4" s="5">
        <v>1.1100000000000001E-3</v>
      </c>
      <c r="J4" s="5">
        <v>1.1100000000000001E-3</v>
      </c>
      <c r="K4" s="5"/>
      <c r="L4" s="5"/>
      <c r="M4" s="5"/>
      <c r="N4" s="13">
        <v>2.5641000000000001E-2</v>
      </c>
      <c r="P4" s="4">
        <f>+(C4+(SUM(D4,F4)*'Residential Use per Customer'!G4)+(SUM('Residential Rates'!E4,'Residential Rates'!G4)*'Residential Use per Customer'!H4)+(SUM('Residential Rates'!H4:M4)*(SUM('Residential Use per Customer'!G4:H4))))*(1+'Residential Rates'!N4)</f>
        <v>98.666664199999985</v>
      </c>
      <c r="Q4" s="4"/>
      <c r="R4" s="7"/>
    </row>
    <row r="5" spans="2:21" x14ac:dyDescent="0.25">
      <c r="B5" s="3">
        <v>2005</v>
      </c>
      <c r="C5" s="4">
        <v>8.5</v>
      </c>
      <c r="D5" s="5">
        <v>4.342E-2</v>
      </c>
      <c r="E5" s="5">
        <v>4.342E-2</v>
      </c>
      <c r="F5" s="5">
        <v>3.7909999999999999E-2</v>
      </c>
      <c r="G5" s="5">
        <v>3.7909999999999999E-2</v>
      </c>
      <c r="H5" s="5">
        <v>3.7699999999999999E-3</v>
      </c>
      <c r="I5" s="5">
        <v>1.0399999999999999E-3</v>
      </c>
      <c r="J5" s="5">
        <v>9.7999999999999997E-4</v>
      </c>
      <c r="K5" s="5"/>
      <c r="L5" s="5"/>
      <c r="M5" s="5"/>
      <c r="N5" s="13">
        <v>2.5641000000000001E-2</v>
      </c>
      <c r="P5" s="4">
        <f>+(C5+(SUM(D5,F5)*'Residential Use per Customer'!G5)+(SUM('Residential Rates'!E5,'Residential Rates'!G5)*'Residential Use per Customer'!H5)+(SUM('Residential Rates'!H5:M5)*(SUM('Residential Use per Customer'!G5:H5))))*(1+'Residential Rates'!N5)</f>
        <v>98.071792420000008</v>
      </c>
      <c r="Q5" s="4"/>
      <c r="R5" s="7"/>
    </row>
    <row r="6" spans="2:21" x14ac:dyDescent="0.25">
      <c r="B6" s="3">
        <v>2006</v>
      </c>
      <c r="C6" s="4">
        <v>8.5</v>
      </c>
      <c r="D6" s="5">
        <v>4.342E-2</v>
      </c>
      <c r="E6" s="5">
        <v>4.342E-2</v>
      </c>
      <c r="F6" s="5">
        <v>5.4350000000000002E-2</v>
      </c>
      <c r="G6" s="5">
        <v>5.4350000000000002E-2</v>
      </c>
      <c r="H6" s="5">
        <v>3.5599999999999998E-3</v>
      </c>
      <c r="I6" s="5">
        <v>-3.7200000000000002E-3</v>
      </c>
      <c r="J6" s="5">
        <v>7.6000000000000004E-4</v>
      </c>
      <c r="K6" s="5"/>
      <c r="L6" s="5"/>
      <c r="M6" s="5"/>
      <c r="N6" s="13">
        <v>2.5641000000000001E-2</v>
      </c>
      <c r="P6" s="4">
        <f>+(C6+(SUM(D6,F6)*'Residential Use per Customer'!G6)+(SUM('Residential Rates'!E6,'Residential Rates'!G6)*'Residential Use per Customer'!H6)+(SUM('Residential Rates'!H6:M6)*(SUM('Residential Use per Customer'!G6:H6))))*(1+'Residential Rates'!N6)</f>
        <v>109.61025366999999</v>
      </c>
      <c r="Q6" s="4"/>
      <c r="R6" s="7"/>
    </row>
    <row r="7" spans="2:21" x14ac:dyDescent="0.25">
      <c r="B7" s="3">
        <v>2007</v>
      </c>
      <c r="C7" s="4">
        <v>8.5</v>
      </c>
      <c r="D7" s="5">
        <v>4.342E-2</v>
      </c>
      <c r="E7" s="5">
        <v>4.342E-2</v>
      </c>
      <c r="F7" s="5">
        <v>5.9220000000000002E-2</v>
      </c>
      <c r="G7" s="5">
        <v>5.9220000000000002E-2</v>
      </c>
      <c r="H7" s="5">
        <v>3.2499999999999999E-3</v>
      </c>
      <c r="I7" s="5">
        <v>-3.4399999999999999E-3</v>
      </c>
      <c r="J7" s="5">
        <v>7.2999999999999996E-4</v>
      </c>
      <c r="K7" s="5"/>
      <c r="L7" s="5"/>
      <c r="M7" s="5"/>
      <c r="N7" s="13">
        <v>2.5641000000000001E-2</v>
      </c>
      <c r="P7" s="4">
        <f>+(C7+(SUM(D7,F7)*'Residential Use per Customer'!G7)+(SUM('Residential Rates'!E7,'Residential Rates'!G7)*'Residential Use per Customer'!H7)+(SUM('Residential Rates'!H7:M7)*(SUM('Residential Use per Customer'!G7:H7))))*(1+'Residential Rates'!N7)</f>
        <v>114.54358688000002</v>
      </c>
      <c r="Q7" s="4"/>
      <c r="R7" s="7"/>
    </row>
    <row r="8" spans="2:21" x14ac:dyDescent="0.25">
      <c r="B8" s="3">
        <v>2008</v>
      </c>
      <c r="C8" s="4">
        <v>8.5</v>
      </c>
      <c r="D8" s="5">
        <v>4.342E-2</v>
      </c>
      <c r="E8" s="5">
        <v>4.342E-2</v>
      </c>
      <c r="F8" s="5">
        <v>5.2409999999999998E-2</v>
      </c>
      <c r="G8" s="5">
        <v>5.2409999999999998E-2</v>
      </c>
      <c r="H8" s="5">
        <v>5.1700000000000001E-3</v>
      </c>
      <c r="I8" s="5">
        <v>1.0399999999999999E-3</v>
      </c>
      <c r="J8" s="5">
        <v>9.7999999999999997E-4</v>
      </c>
      <c r="K8" s="5"/>
      <c r="L8" s="5"/>
      <c r="M8" s="5"/>
      <c r="N8" s="13">
        <v>2.5641000000000001E-2</v>
      </c>
      <c r="P8" s="4">
        <f>+(C8+(SUM(D8,F8)*'Residential Use per Customer'!G8)+(SUM('Residential Rates'!E8,'Residential Rates'!G8)*'Residential Use per Customer'!H8)+(SUM('Residential Rates'!H8:M8)*(SUM('Residential Use per Customer'!G8:H8))))*(1+'Residential Rates'!N8)</f>
        <v>114.37948432</v>
      </c>
      <c r="Q8" s="4"/>
      <c r="R8" s="7"/>
    </row>
    <row r="9" spans="2:21" x14ac:dyDescent="0.25">
      <c r="B9" s="3">
        <v>2009</v>
      </c>
      <c r="C9" s="4">
        <v>10.5</v>
      </c>
      <c r="D9" s="5">
        <v>4.2869999999999998E-2</v>
      </c>
      <c r="E9" s="5">
        <v>5.287E-2</v>
      </c>
      <c r="F9" s="5">
        <v>4.7989999999999998E-2</v>
      </c>
      <c r="G9" s="5">
        <v>5.799E-2</v>
      </c>
      <c r="H9" s="5">
        <v>5.7999999999999996E-3</v>
      </c>
      <c r="I9" s="5">
        <v>2.2899999999999999E-3</v>
      </c>
      <c r="J9" s="5">
        <v>1.06E-3</v>
      </c>
      <c r="K9" s="5"/>
      <c r="L9" s="5"/>
      <c r="M9" s="5"/>
      <c r="N9" s="13">
        <v>2.5641000000000001E-2</v>
      </c>
      <c r="P9" s="4">
        <f>+(C9+(SUM(D9,F9)*'Residential Use per Customer'!G9)+(SUM('Residential Rates'!E9,'Residential Rates'!G9)*'Residential Use per Customer'!H9)+(SUM('Residential Rates'!H9:M9)*(SUM('Residential Use per Customer'!G9:H9))))*(1+'Residential Rates'!N9)</f>
        <v>113.34358691000001</v>
      </c>
      <c r="Q9" s="4"/>
      <c r="R9" s="7"/>
    </row>
    <row r="10" spans="2:21" x14ac:dyDescent="0.25">
      <c r="B10" s="3">
        <v>2010</v>
      </c>
      <c r="C10" s="4">
        <v>10.5</v>
      </c>
      <c r="D10" s="5">
        <v>4.4949999999999997E-2</v>
      </c>
      <c r="E10" s="5">
        <v>5.4949999999999999E-2</v>
      </c>
      <c r="F10" s="5">
        <v>4.1669999999999999E-2</v>
      </c>
      <c r="G10" s="5">
        <v>5.1670000000000001E-2</v>
      </c>
      <c r="H10" s="5">
        <v>5.3899999999999998E-3</v>
      </c>
      <c r="I10" s="5">
        <v>4.8599999999999997E-3</v>
      </c>
      <c r="J10" s="5">
        <v>2.5400000000000002E-3</v>
      </c>
      <c r="K10" s="5"/>
      <c r="L10" s="5"/>
      <c r="M10" s="5"/>
      <c r="N10" s="13">
        <v>2.5641000000000001E-2</v>
      </c>
      <c r="P10" s="4">
        <f>+(C10+(SUM(D10,F10)*'Residential Use per Customer'!G10)+(SUM('Residential Rates'!E10,'Residential Rates'!G10)*'Residential Use per Customer'!H10)+(SUM('Residential Rates'!H10:M10)*(SUM('Residential Use per Customer'!G10:H10))))*(1+'Residential Rates'!N10)</f>
        <v>112.72820231</v>
      </c>
      <c r="Q10" s="4"/>
      <c r="R10" s="7"/>
    </row>
    <row r="11" spans="2:21" x14ac:dyDescent="0.25">
      <c r="B11" s="3">
        <v>2011</v>
      </c>
      <c r="C11" s="4">
        <v>10.5</v>
      </c>
      <c r="D11" s="5">
        <v>4.4949999999999997E-2</v>
      </c>
      <c r="E11" s="5">
        <v>5.4949999999999999E-2</v>
      </c>
      <c r="F11" s="5">
        <v>3.875E-2</v>
      </c>
      <c r="G11" s="5">
        <v>4.8750000000000002E-2</v>
      </c>
      <c r="H11" s="5">
        <v>3.3600000000000001E-3</v>
      </c>
      <c r="I11" s="5">
        <v>4.0400000000000002E-3</v>
      </c>
      <c r="J11" s="5">
        <v>2.7399999999999998E-3</v>
      </c>
      <c r="K11" s="5"/>
      <c r="L11" s="5"/>
      <c r="M11" s="5"/>
      <c r="N11" s="13">
        <v>2.5641000000000001E-2</v>
      </c>
      <c r="P11" s="4">
        <f>+(C11+(SUM(D11,F11)*'Residential Use per Customer'!G11)+(SUM('Residential Rates'!E11,'Residential Rates'!G11)*'Residential Use per Customer'!H11)+(SUM('Residential Rates'!H11:M11)*(SUM('Residential Use per Customer'!G11:H11))))*(1+'Residential Rates'!N11)</f>
        <v>107.01538194000001</v>
      </c>
      <c r="Q11" s="4"/>
      <c r="R11" s="7"/>
    </row>
    <row r="12" spans="2:21" x14ac:dyDescent="0.25">
      <c r="B12" s="3">
        <v>2012</v>
      </c>
      <c r="C12" s="4">
        <v>10.5</v>
      </c>
      <c r="D12" s="5">
        <v>4.4949999999999997E-2</v>
      </c>
      <c r="E12" s="5">
        <v>5.4949999999999999E-2</v>
      </c>
      <c r="F12" s="5">
        <v>3.8399999999999997E-2</v>
      </c>
      <c r="G12" s="5">
        <v>4.8399999999999999E-2</v>
      </c>
      <c r="H12" s="5">
        <v>2.7499999999999998E-3</v>
      </c>
      <c r="I12" s="5">
        <v>4.5999999999999999E-3</v>
      </c>
      <c r="J12" s="5">
        <v>3.0200000000000001E-3</v>
      </c>
      <c r="K12" s="5"/>
      <c r="L12" s="5"/>
      <c r="M12" s="5"/>
      <c r="N12" s="13">
        <v>2.5641000000000001E-2</v>
      </c>
      <c r="P12" s="4">
        <f>+(C12+(SUM(D12,F12)*'Residential Use per Customer'!G12)+(SUM('Residential Rates'!E12,'Residential Rates'!G12)*'Residential Use per Customer'!H12)+(SUM('Residential Rates'!H12:M12)*(SUM('Residential Use per Customer'!G12:H12))))*(1+'Residential Rates'!N12)</f>
        <v>106.89230501999999</v>
      </c>
      <c r="Q12" s="4"/>
      <c r="R12" s="7"/>
    </row>
    <row r="13" spans="2:21" x14ac:dyDescent="0.25">
      <c r="B13" s="3">
        <v>2013</v>
      </c>
      <c r="C13" s="4">
        <v>15</v>
      </c>
      <c r="D13" s="5">
        <v>4.598E-2</v>
      </c>
      <c r="E13" s="5">
        <v>5.5980000000000002E-2</v>
      </c>
      <c r="F13" s="5">
        <v>3.3689999999999998E-2</v>
      </c>
      <c r="G13" s="5">
        <v>4.369E-2</v>
      </c>
      <c r="H13" s="5">
        <v>2.32E-3</v>
      </c>
      <c r="I13" s="5">
        <v>5.5799999999999999E-3</v>
      </c>
      <c r="J13" s="5">
        <v>2.98E-3</v>
      </c>
      <c r="K13" s="5"/>
      <c r="L13" s="5"/>
      <c r="M13" s="5"/>
      <c r="N13" s="13">
        <v>2.5641000000000001E-2</v>
      </c>
      <c r="P13" s="4">
        <f>+(C13+(SUM(D13,F13)*'Residential Use per Customer'!G13)+(SUM('Residential Rates'!E13,'Residential Rates'!G13)*'Residential Use per Customer'!H13)+(SUM('Residential Rates'!H13:M13)*(SUM('Residential Use per Customer'!G13:H13))))*(1+'Residential Rates'!N13)</f>
        <v>108.25640754999999</v>
      </c>
      <c r="Q13" s="4"/>
      <c r="R13" s="7"/>
    </row>
    <row r="14" spans="2:21" x14ac:dyDescent="0.25">
      <c r="B14" s="3">
        <v>2014</v>
      </c>
      <c r="C14" s="4">
        <v>15</v>
      </c>
      <c r="D14" s="5">
        <v>4.65E-2</v>
      </c>
      <c r="E14" s="5">
        <v>5.6500000000000002E-2</v>
      </c>
      <c r="F14" s="5">
        <v>3.6089999999999997E-2</v>
      </c>
      <c r="G14" s="5">
        <v>4.6089999999999999E-2</v>
      </c>
      <c r="H14" s="5">
        <v>2.0200000000000001E-3</v>
      </c>
      <c r="I14" s="5">
        <v>4.8300000000000001E-3</v>
      </c>
      <c r="J14" s="5">
        <v>2.9499999999999999E-3</v>
      </c>
      <c r="K14" s="5"/>
      <c r="L14" s="5"/>
      <c r="M14" s="5"/>
      <c r="N14" s="13">
        <v>2.5641000000000001E-2</v>
      </c>
      <c r="P14" s="4">
        <f>+(C14+(SUM(D14,F14)*'Residential Use per Customer'!G14)+(SUM('Residential Rates'!E14,'Residential Rates'!G14)*'Residential Use per Customer'!H14)+(SUM('Residential Rates'!H14:M14)*(SUM('Residential Use per Customer'!G14:H14))))*(1+'Residential Rates'!N14)</f>
        <v>110.14358699</v>
      </c>
      <c r="Q14" s="4"/>
      <c r="R14" s="7"/>
    </row>
    <row r="15" spans="2:21" x14ac:dyDescent="0.25">
      <c r="B15" s="3">
        <v>2015</v>
      </c>
      <c r="C15" s="4">
        <v>15</v>
      </c>
      <c r="D15" s="5">
        <v>4.6940000000000003E-2</v>
      </c>
      <c r="E15" s="5">
        <v>5.6939999999999998E-2</v>
      </c>
      <c r="F15" s="5">
        <v>3.5589999999999997E-2</v>
      </c>
      <c r="G15" s="5">
        <v>4.5589999999999999E-2</v>
      </c>
      <c r="H15" s="5">
        <v>2.0400000000000001E-3</v>
      </c>
      <c r="I15" s="5">
        <v>4.0800000000000003E-3</v>
      </c>
      <c r="J15" s="5">
        <v>2.5500000000000002E-3</v>
      </c>
      <c r="K15" s="5"/>
      <c r="L15" s="5"/>
      <c r="M15" s="5"/>
      <c r="N15" s="13">
        <v>2.5641000000000001E-2</v>
      </c>
      <c r="P15" s="4">
        <f>+(C15+(SUM(D15,F15)*'Residential Use per Customer'!G15)+(SUM('Residential Rates'!E15,'Residential Rates'!G15)*'Residential Use per Customer'!H15)+(SUM('Residential Rates'!H15:M15)*(SUM('Residential Use per Customer'!G15:H15))))*(1+'Residential Rates'!N15)</f>
        <v>108.92307419999999</v>
      </c>
      <c r="Q15" s="4"/>
      <c r="R15" s="7"/>
    </row>
    <row r="16" spans="2:21" x14ac:dyDescent="0.25">
      <c r="B16" s="3">
        <v>2016</v>
      </c>
      <c r="C16" s="4">
        <v>15</v>
      </c>
      <c r="D16" s="5">
        <v>4.6940000000000003E-2</v>
      </c>
      <c r="E16" s="5">
        <v>5.6939999999999998E-2</v>
      </c>
      <c r="F16" s="5">
        <v>3.3610000000000001E-2</v>
      </c>
      <c r="G16" s="5">
        <v>4.3610000000000003E-2</v>
      </c>
      <c r="H16" s="5">
        <v>1.7799999999999999E-3</v>
      </c>
      <c r="I16" s="5">
        <v>4.3200000000000001E-3</v>
      </c>
      <c r="J16" s="5">
        <v>1.91E-3</v>
      </c>
      <c r="K16" s="5"/>
      <c r="L16" s="5"/>
      <c r="M16" s="5"/>
      <c r="N16" s="13">
        <v>2.5641000000000001E-2</v>
      </c>
      <c r="P16" s="4">
        <f>+(C16+(SUM(D16,F16)*'Residential Use per Customer'!G16)+(SUM('Residential Rates'!E16,'Residential Rates'!G16)*'Residential Use per Customer'!H16)+(SUM('Residential Rates'!H16:M16)*(SUM('Residential Use per Customer'!G16:H16))))*(1+'Residential Rates'!N16)</f>
        <v>106.21538196000002</v>
      </c>
      <c r="Q16" s="4"/>
      <c r="R16" s="7"/>
    </row>
    <row r="17" spans="2:21" x14ac:dyDescent="0.25">
      <c r="B17" s="3">
        <v>2017</v>
      </c>
      <c r="C17" s="4">
        <v>16.62</v>
      </c>
      <c r="D17" s="5">
        <v>5.1999999999999998E-2</v>
      </c>
      <c r="E17" s="5">
        <v>6.3079999999999997E-2</v>
      </c>
      <c r="F17" s="5">
        <v>2.6419999999999999E-2</v>
      </c>
      <c r="G17" s="5">
        <v>3.6420000000000001E-2</v>
      </c>
      <c r="H17" s="5">
        <v>8.8000000000000003E-4</v>
      </c>
      <c r="I17" s="5">
        <v>3.8899999999999998E-3</v>
      </c>
      <c r="J17" s="5">
        <v>2.2499999999999998E-3</v>
      </c>
      <c r="K17" s="5"/>
      <c r="L17" s="5"/>
      <c r="M17" s="5"/>
      <c r="N17" s="13">
        <v>2.5641000000000001E-2</v>
      </c>
      <c r="P17" s="4">
        <f>+(C17+(SUM(D17,F17)*'Residential Use per Customer'!G17)+(SUM('Residential Rates'!E17,'Residential Rates'!G17)*'Residential Use per Customer'!H17)+(SUM('Residential Rates'!H17:M17)*(SUM('Residential Use per Customer'!G17:H17))))*(1+'Residential Rates'!N17)</f>
        <v>104.67692045999999</v>
      </c>
      <c r="Q17" s="4"/>
      <c r="R17" s="7"/>
    </row>
    <row r="18" spans="2:21" x14ac:dyDescent="0.25">
      <c r="B18" s="3">
        <v>2018</v>
      </c>
      <c r="C18" s="4">
        <v>16.62</v>
      </c>
      <c r="D18" s="5">
        <v>5.3809999999999997E-2</v>
      </c>
      <c r="E18" s="5">
        <v>6.3810000000000006E-2</v>
      </c>
      <c r="F18" s="5">
        <v>2.818E-2</v>
      </c>
      <c r="G18" s="5">
        <v>3.8179999999999999E-2</v>
      </c>
      <c r="H18" s="5">
        <v>6.6E-4</v>
      </c>
      <c r="I18" s="5">
        <v>3.4299999999999999E-3</v>
      </c>
      <c r="J18" s="5">
        <v>2.4599999999999999E-3</v>
      </c>
      <c r="K18" s="5"/>
      <c r="L18" s="5"/>
      <c r="M18" s="5"/>
      <c r="N18" s="13">
        <v>2.5641000000000001E-2</v>
      </c>
      <c r="P18" s="4">
        <f>+(C18+(SUM(D18,F18)*'Residential Use per Customer'!G18)+(SUM('Residential Rates'!E18,'Residential Rates'!G18)*'Residential Use per Customer'!H18)+(SUM('Residential Rates'!H18:M18)*(SUM('Residential Use per Customer'!G18:H18))))*(1+'Residential Rates'!N18)</f>
        <v>107.85640755999999</v>
      </c>
      <c r="Q18" s="4"/>
      <c r="R18" s="7"/>
    </row>
    <row r="19" spans="2:21" x14ac:dyDescent="0.25">
      <c r="B19" s="3">
        <v>2019</v>
      </c>
      <c r="C19" s="4">
        <v>15.12</v>
      </c>
      <c r="D19" s="5">
        <v>5.1409999999999997E-2</v>
      </c>
      <c r="E19" s="5">
        <v>6.1409999999999999E-2</v>
      </c>
      <c r="F19" s="5">
        <v>2.4049999999999998E-2</v>
      </c>
      <c r="G19" s="5">
        <v>3.4049999999999997E-2</v>
      </c>
      <c r="H19" s="5">
        <v>1.0300000000000001E-3</v>
      </c>
      <c r="I19" s="5">
        <v>2.2200000000000002E-3</v>
      </c>
      <c r="J19" s="5">
        <v>3.2100000000000002E-3</v>
      </c>
      <c r="K19" s="5"/>
      <c r="L19" s="5"/>
      <c r="M19" s="5"/>
      <c r="N19" s="13">
        <v>2.5641000000000001E-2</v>
      </c>
      <c r="P19" s="4">
        <f>+(C19+(SUM(D19,F19)*'Residential Use per Customer'!G19)+(SUM('Residential Rates'!E19,'Residential Rates'!G19)*'Residential Use per Customer'!H19)+(SUM('Residential Rates'!H19:M19)*(SUM('Residential Use per Customer'!G19:H19))))*(1+'Residential Rates'!N19)</f>
        <v>99.528202639999989</v>
      </c>
      <c r="Q19" s="4"/>
      <c r="R19" s="7"/>
    </row>
    <row r="20" spans="2:21" x14ac:dyDescent="0.25">
      <c r="B20" s="3">
        <v>2020</v>
      </c>
      <c r="C20" s="4">
        <v>15.05</v>
      </c>
      <c r="D20" s="5">
        <v>5.271E-2</v>
      </c>
      <c r="E20" s="5">
        <v>6.2710000000000002E-2</v>
      </c>
      <c r="F20" s="5">
        <v>2.7019999999999999E-2</v>
      </c>
      <c r="G20" s="5">
        <v>3.7019999999999997E-2</v>
      </c>
      <c r="H20" s="5">
        <v>1E-4</v>
      </c>
      <c r="I20" s="5">
        <v>2.4399999999999999E-3</v>
      </c>
      <c r="J20" s="5">
        <v>2.32E-3</v>
      </c>
      <c r="K20" s="5"/>
      <c r="L20" s="5"/>
      <c r="M20" s="5"/>
      <c r="N20" s="13">
        <v>2.5641000000000001E-2</v>
      </c>
      <c r="P20" s="4">
        <f>+(C20+(SUM(D20,F20)*'Residential Use per Customer'!G20)+(SUM('Residential Rates'!E20,'Residential Rates'!G20)*'Residential Use per Customer'!H20)+(SUM('Residential Rates'!H20:M20)*(SUM('Residential Use per Customer'!G20:H20))))*(1+'Residential Rates'!N20)</f>
        <v>102.19486923999999</v>
      </c>
      <c r="Q20" s="4"/>
      <c r="R20" s="7"/>
    </row>
    <row r="21" spans="2:21" x14ac:dyDescent="0.25">
      <c r="B21" s="3">
        <v>2021</v>
      </c>
      <c r="C21" s="4">
        <v>15.05</v>
      </c>
      <c r="D21" s="5">
        <v>5.2249999999999998E-2</v>
      </c>
      <c r="E21" s="5">
        <v>6.225E-2</v>
      </c>
      <c r="F21" s="5">
        <v>3.9379999999999998E-2</v>
      </c>
      <c r="G21" s="5">
        <v>4.938E-2</v>
      </c>
      <c r="H21" s="5">
        <v>1.6999999999999999E-3</v>
      </c>
      <c r="I21" s="5">
        <v>2.6900000000000001E-3</v>
      </c>
      <c r="J21" s="5">
        <v>1.66E-3</v>
      </c>
      <c r="K21" s="5">
        <v>2.3900000000000002E-3</v>
      </c>
      <c r="L21" s="5"/>
      <c r="M21" s="5"/>
      <c r="N21" s="13">
        <v>2.5641000000000001E-2</v>
      </c>
      <c r="P21" s="4">
        <f>+(C21+(SUM(D21,F21)*'Residential Use per Customer'!G21)+(SUM('Residential Rates'!E21,'Residential Rates'!G21)*'Residential Use per Customer'!H21)+(SUM('Residential Rates'!H21:M21)*(SUM('Residential Use per Customer'!G21:H21))))*(1+'Residential Rates'!N21)</f>
        <v>118.07179192</v>
      </c>
      <c r="Q21" s="4"/>
      <c r="R21" s="7"/>
    </row>
    <row r="22" spans="2:21" x14ac:dyDescent="0.25">
      <c r="B22" s="3">
        <v>2022</v>
      </c>
      <c r="C22" s="4">
        <f>0.71*30</f>
        <v>21.299999999999997</v>
      </c>
      <c r="D22" s="5">
        <v>5.7689999999999998E-2</v>
      </c>
      <c r="E22" s="5">
        <v>6.769E-2</v>
      </c>
      <c r="F22" s="5">
        <v>3.7909999999999999E-2</v>
      </c>
      <c r="G22" s="5">
        <v>4.7910000000000001E-2</v>
      </c>
      <c r="H22" s="5">
        <v>5.2999999999999998E-4</v>
      </c>
      <c r="I22" s="5">
        <v>1.3799999999999999E-3</v>
      </c>
      <c r="J22" s="5">
        <v>2.3600000000000001E-3</v>
      </c>
      <c r="K22" s="5">
        <v>3.29E-3</v>
      </c>
      <c r="L22" s="5">
        <v>4.4099999999999999E-3</v>
      </c>
      <c r="M22" s="5"/>
      <c r="N22" s="13">
        <v>2.5641000000000001E-2</v>
      </c>
      <c r="P22" s="4">
        <f>+(C22+(SUM(D22,F22)*'Residential Use per Customer'!G22)+(SUM('Residential Rates'!E22,'Residential Rates'!G22)*'Residential Use per Customer'!H22)+(SUM('Residential Rates'!H22:M22)*(SUM('Residential Use per Customer'!G22:H22))))*(1+'Residential Rates'!N22)</f>
        <v>132.17435567000001</v>
      </c>
      <c r="Q22" s="4"/>
      <c r="R22" s="7"/>
      <c r="S22" s="7"/>
      <c r="T22" s="7"/>
      <c r="U22" s="7"/>
    </row>
    <row r="23" spans="2:21" x14ac:dyDescent="0.25">
      <c r="B23" s="3">
        <v>2023</v>
      </c>
      <c r="C23" s="4">
        <f>0.71*30</f>
        <v>21.299999999999997</v>
      </c>
      <c r="D23" s="5">
        <v>6.4920000000000005E-2</v>
      </c>
      <c r="E23" s="5">
        <v>7.6170000000000002E-2</v>
      </c>
      <c r="F23" s="5">
        <v>4.9079999999999999E-2</v>
      </c>
      <c r="G23" s="5">
        <v>5.9080000000000001E-2</v>
      </c>
      <c r="H23" s="5">
        <v>-1.8000000000000001E-4</v>
      </c>
      <c r="I23" s="5">
        <v>9.2000000000000003E-4</v>
      </c>
      <c r="J23" s="5">
        <v>2.81E-3</v>
      </c>
      <c r="K23" s="5">
        <v>3.7299999999999998E-3</v>
      </c>
      <c r="L23" s="5">
        <v>4.3E-3</v>
      </c>
      <c r="M23" s="5">
        <v>1.022E-2</v>
      </c>
      <c r="N23" s="13">
        <v>2.5641000000000001E-2</v>
      </c>
      <c r="P23" s="4">
        <f>+(C23+(SUM(D23,F23)*'Residential Use per Customer'!G23)+(SUM('Residential Rates'!E23,'Residential Rates'!G23)*'Residential Use per Customer'!H23)+(SUM('Residential Rates'!H23:M23)*(SUM('Residential Use per Customer'!G23:H23))))*(1+'Residential Rates'!N23)</f>
        <v>161.12820110000004</v>
      </c>
      <c r="Q23" s="4"/>
      <c r="R23" s="7"/>
      <c r="S23" s="7"/>
      <c r="T23" s="7"/>
      <c r="U23" s="7"/>
    </row>
    <row r="24" spans="2:21" x14ac:dyDescent="0.25">
      <c r="B24" s="3">
        <v>2024</v>
      </c>
      <c r="C24" s="4">
        <v>21.3</v>
      </c>
      <c r="D24" s="5">
        <v>6.6500000000000004E-2</v>
      </c>
      <c r="E24" s="5">
        <v>7.8020000000000006E-2</v>
      </c>
      <c r="F24" s="5">
        <v>2.8500000000000001E-2</v>
      </c>
      <c r="G24" s="5">
        <v>3.85E-2</v>
      </c>
      <c r="H24" s="5">
        <v>6.2E-4</v>
      </c>
      <c r="I24" s="5">
        <v>8.8999999999999995E-4</v>
      </c>
      <c r="J24" s="5">
        <v>2.15E-3</v>
      </c>
      <c r="K24" s="5">
        <v>6.5799999999999999E-3</v>
      </c>
      <c r="L24" s="5">
        <v>4.3E-3</v>
      </c>
      <c r="M24" s="5">
        <v>2.1900000000000001E-3</v>
      </c>
      <c r="N24" s="13">
        <v>2.5641000000000001E-2</v>
      </c>
      <c r="P24" s="4">
        <f>+(C24+(SUM(D24,F24)*'Residential Use per Customer'!G24)+(SUM('Residential Rates'!E24,'Residential Rates'!G24)*'Residential Use per Customer'!H24)+(SUM('Residential Rates'!H24:M24)*(SUM('Residential Use per Customer'!G24:H24))))*(1+'Residential Rates'!N24)</f>
        <v>136.44102223000002</v>
      </c>
      <c r="Q24" s="4"/>
      <c r="R24" s="7"/>
      <c r="S24" s="7"/>
      <c r="T24" s="7"/>
      <c r="U24" s="7"/>
    </row>
    <row r="25" spans="2:21" x14ac:dyDescent="0.25">
      <c r="B25" s="3" t="s">
        <v>19</v>
      </c>
      <c r="C25" s="4">
        <f>1.07*30</f>
        <v>32.1</v>
      </c>
      <c r="D25" s="5">
        <v>7.4914944597099395E-2</v>
      </c>
      <c r="E25" s="5">
        <v>8.491494459709939E-2</v>
      </c>
      <c r="F25" s="5">
        <v>2.6100000000000002E-2</v>
      </c>
      <c r="G25" s="5">
        <v>3.61E-2</v>
      </c>
      <c r="H25" s="5">
        <f t="shared" ref="H25:L25" si="0">+H24</f>
        <v>6.2E-4</v>
      </c>
      <c r="I25" s="5">
        <f t="shared" si="0"/>
        <v>8.8999999999999995E-4</v>
      </c>
      <c r="J25" s="5">
        <f t="shared" si="0"/>
        <v>2.15E-3</v>
      </c>
      <c r="K25" s="5">
        <f t="shared" si="0"/>
        <v>6.5799999999999999E-3</v>
      </c>
      <c r="L25" s="5">
        <f t="shared" si="0"/>
        <v>4.3E-3</v>
      </c>
      <c r="M25" s="5"/>
      <c r="N25" s="13">
        <v>2.5641000000000001E-2</v>
      </c>
      <c r="P25" s="4">
        <f>+(C25+(SUM(D25,F25)*'Residential Use per Customer'!G25)+(SUM('Residential Rates'!E25,'Residential Rates'!G25)*'Residential Use per Customer'!H25)+(SUM('Residential Rates'!H25:M25)*(SUM('Residential Use per Customer'!G25:H25))))*(1+'Residential Rates'!N25)</f>
        <v>151.44096503151363</v>
      </c>
      <c r="Q25" s="4"/>
      <c r="R25" s="7"/>
      <c r="S25" s="7"/>
      <c r="T25" s="26"/>
      <c r="U25" s="7"/>
    </row>
    <row r="26" spans="2:21" x14ac:dyDescent="0.25"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P26" s="4"/>
      <c r="Q26" s="7"/>
      <c r="R26" s="7"/>
      <c r="S26" s="7"/>
      <c r="T26" s="7"/>
      <c r="U26" s="7"/>
    </row>
    <row r="27" spans="2:21" x14ac:dyDescent="0.25"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P27" s="4"/>
      <c r="Q27" s="7"/>
      <c r="R27" s="7"/>
      <c r="S27" s="7"/>
      <c r="T27" s="7"/>
      <c r="U27" s="7"/>
    </row>
    <row r="28" spans="2:21" x14ac:dyDescent="0.25">
      <c r="C28" s="4"/>
      <c r="N28" s="4"/>
    </row>
    <row r="29" spans="2:21" x14ac:dyDescent="0.25">
      <c r="N29" s="3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7A087-556F-4669-80C3-9583FA83D53D}">
  <dimension ref="A1:H25"/>
  <sheetViews>
    <sheetView workbookViewId="0">
      <selection activeCell="E25" sqref="E25"/>
    </sheetView>
  </sheetViews>
  <sheetFormatPr defaultRowHeight="15" x14ac:dyDescent="0.25"/>
  <cols>
    <col min="2" max="2" width="15" bestFit="1" customWidth="1"/>
    <col min="3" max="3" width="48.5703125" bestFit="1" customWidth="1"/>
    <col min="4" max="4" width="46" bestFit="1" customWidth="1"/>
    <col min="5" max="5" width="32.7109375" bestFit="1" customWidth="1"/>
  </cols>
  <sheetData>
    <row r="1" spans="1:8" x14ac:dyDescent="0.25">
      <c r="A1" t="s">
        <v>20</v>
      </c>
      <c r="H1" s="8" t="s">
        <v>21</v>
      </c>
    </row>
    <row r="2" spans="1:8" x14ac:dyDescent="0.25">
      <c r="B2" s="8" t="s">
        <v>22</v>
      </c>
      <c r="C2" s="11" t="s">
        <v>23</v>
      </c>
      <c r="D2" t="s">
        <v>24</v>
      </c>
      <c r="E2" t="s">
        <v>25</v>
      </c>
      <c r="H2" s="8" t="s">
        <v>26</v>
      </c>
    </row>
    <row r="3" spans="1:8" x14ac:dyDescent="0.25">
      <c r="B3" s="9">
        <v>37622</v>
      </c>
      <c r="C3" s="10">
        <v>43304</v>
      </c>
      <c r="E3" s="10">
        <f>+C3/12</f>
        <v>3608.6666666666665</v>
      </c>
      <c r="H3" s="8" t="s">
        <v>27</v>
      </c>
    </row>
    <row r="4" spans="1:8" x14ac:dyDescent="0.25">
      <c r="B4" s="9">
        <v>37987</v>
      </c>
      <c r="C4" s="10">
        <v>44850</v>
      </c>
      <c r="E4" s="10">
        <f t="shared" ref="E4:E25" si="0">+C4/12</f>
        <v>3737.5</v>
      </c>
      <c r="H4" s="8" t="s">
        <v>28</v>
      </c>
    </row>
    <row r="5" spans="1:8" x14ac:dyDescent="0.25">
      <c r="B5" s="9">
        <v>38353</v>
      </c>
      <c r="C5" s="10">
        <v>45084</v>
      </c>
      <c r="E5" s="10">
        <f t="shared" si="0"/>
        <v>3757</v>
      </c>
      <c r="H5" s="8" t="s">
        <v>29</v>
      </c>
    </row>
    <row r="6" spans="1:8" x14ac:dyDescent="0.25">
      <c r="B6" s="9">
        <v>38718</v>
      </c>
      <c r="C6" s="10">
        <v>46751</v>
      </c>
      <c r="E6" s="10">
        <f t="shared" si="0"/>
        <v>3895.9166666666665</v>
      </c>
      <c r="H6" s="8" t="s">
        <v>30</v>
      </c>
    </row>
    <row r="7" spans="1:8" x14ac:dyDescent="0.25">
      <c r="B7" s="9">
        <v>39083</v>
      </c>
      <c r="C7" s="10">
        <v>50485</v>
      </c>
      <c r="E7" s="10">
        <f t="shared" si="0"/>
        <v>4207.083333333333</v>
      </c>
    </row>
    <row r="8" spans="1:8" x14ac:dyDescent="0.25">
      <c r="B8" s="9">
        <v>39448</v>
      </c>
      <c r="C8" s="10">
        <v>49762</v>
      </c>
      <c r="E8" s="10">
        <f t="shared" si="0"/>
        <v>4146.833333333333</v>
      </c>
      <c r="H8" s="8" t="s">
        <v>31</v>
      </c>
    </row>
    <row r="9" spans="1:8" x14ac:dyDescent="0.25">
      <c r="B9" s="9">
        <v>39814</v>
      </c>
      <c r="C9" s="10">
        <v>47129</v>
      </c>
      <c r="E9" s="10">
        <f t="shared" si="0"/>
        <v>3927.4166666666665</v>
      </c>
    </row>
    <row r="10" spans="1:8" x14ac:dyDescent="0.25">
      <c r="B10" s="9">
        <v>40179</v>
      </c>
      <c r="C10" s="10">
        <v>46043</v>
      </c>
      <c r="E10" s="10">
        <f t="shared" si="0"/>
        <v>3836.9166666666665</v>
      </c>
    </row>
    <row r="11" spans="1:8" x14ac:dyDescent="0.25">
      <c r="B11" s="9">
        <v>40544</v>
      </c>
      <c r="C11" s="10">
        <v>46592</v>
      </c>
      <c r="E11" s="10">
        <f t="shared" si="0"/>
        <v>3882.6666666666665</v>
      </c>
    </row>
    <row r="12" spans="1:8" x14ac:dyDescent="0.25">
      <c r="B12" s="9">
        <v>40909</v>
      </c>
      <c r="C12" s="10">
        <v>46534</v>
      </c>
      <c r="E12" s="10">
        <f t="shared" si="0"/>
        <v>3877.8333333333335</v>
      </c>
    </row>
    <row r="13" spans="1:8" x14ac:dyDescent="0.25">
      <c r="B13" s="9">
        <v>41275</v>
      </c>
      <c r="C13" s="10">
        <v>49510</v>
      </c>
      <c r="E13" s="10">
        <f t="shared" si="0"/>
        <v>4125.833333333333</v>
      </c>
    </row>
    <row r="14" spans="1:8" x14ac:dyDescent="0.25">
      <c r="B14" s="9">
        <v>41640</v>
      </c>
      <c r="C14" s="10">
        <v>50758</v>
      </c>
      <c r="E14" s="10">
        <f t="shared" si="0"/>
        <v>4229.833333333333</v>
      </c>
    </row>
    <row r="15" spans="1:8" x14ac:dyDescent="0.25">
      <c r="B15" s="9">
        <v>42005</v>
      </c>
      <c r="C15" s="10">
        <v>51710</v>
      </c>
      <c r="E15" s="10">
        <f t="shared" si="0"/>
        <v>4309.166666666667</v>
      </c>
    </row>
    <row r="16" spans="1:8" x14ac:dyDescent="0.25">
      <c r="B16" s="9">
        <v>42370</v>
      </c>
      <c r="C16" s="10">
        <v>54509</v>
      </c>
      <c r="E16" s="10">
        <f t="shared" si="0"/>
        <v>4542.416666666667</v>
      </c>
    </row>
    <row r="17" spans="2:5" x14ac:dyDescent="0.25">
      <c r="B17" s="9">
        <v>42736</v>
      </c>
      <c r="C17" s="10">
        <v>54741</v>
      </c>
      <c r="E17" s="10">
        <f t="shared" si="0"/>
        <v>4561.75</v>
      </c>
    </row>
    <row r="18" spans="2:5" x14ac:dyDescent="0.25">
      <c r="B18" s="9">
        <v>43101</v>
      </c>
      <c r="C18" s="10">
        <v>58361</v>
      </c>
      <c r="E18" s="10">
        <f t="shared" si="0"/>
        <v>4863.416666666667</v>
      </c>
    </row>
    <row r="19" spans="2:5" x14ac:dyDescent="0.25">
      <c r="B19" s="9">
        <v>43466</v>
      </c>
      <c r="C19" s="10">
        <v>61133</v>
      </c>
      <c r="E19" s="10">
        <f t="shared" si="0"/>
        <v>5094.416666666667</v>
      </c>
    </row>
    <row r="20" spans="2:5" x14ac:dyDescent="0.25">
      <c r="B20" s="9">
        <v>43831</v>
      </c>
      <c r="C20" s="10">
        <v>65272</v>
      </c>
      <c r="E20" s="10">
        <f t="shared" si="0"/>
        <v>5439.333333333333</v>
      </c>
    </row>
    <row r="21" spans="2:5" x14ac:dyDescent="0.25">
      <c r="B21" s="9">
        <v>44197</v>
      </c>
      <c r="C21" s="10">
        <v>65818</v>
      </c>
      <c r="E21" s="10">
        <f t="shared" si="0"/>
        <v>5484.833333333333</v>
      </c>
    </row>
    <row r="22" spans="2:5" x14ac:dyDescent="0.25">
      <c r="B22" s="9">
        <v>44562</v>
      </c>
      <c r="C22" s="10">
        <v>74091</v>
      </c>
      <c r="E22" s="10">
        <f t="shared" si="0"/>
        <v>6174.25</v>
      </c>
    </row>
    <row r="23" spans="2:5" x14ac:dyDescent="0.25">
      <c r="B23" s="9">
        <v>44927</v>
      </c>
      <c r="C23" s="10">
        <f>+C22*(1+D23)</f>
        <v>76631.010855722285</v>
      </c>
      <c r="D23" s="6">
        <v>3.4282313043720425E-2</v>
      </c>
      <c r="E23" s="10">
        <f t="shared" si="0"/>
        <v>6385.9175713101904</v>
      </c>
    </row>
    <row r="24" spans="2:5" x14ac:dyDescent="0.25">
      <c r="B24" s="9">
        <v>45292</v>
      </c>
      <c r="C24" s="10">
        <f t="shared" ref="C24:C25" si="1">+C23*(1+D24)</f>
        <v>79722.749672968916</v>
      </c>
      <c r="D24" s="6">
        <v>4.0345791902283823E-2</v>
      </c>
      <c r="E24" s="10">
        <f t="shared" si="0"/>
        <v>6643.5624727474096</v>
      </c>
    </row>
    <row r="25" spans="2:5" x14ac:dyDescent="0.25">
      <c r="B25" s="9">
        <v>45658</v>
      </c>
      <c r="C25" s="10">
        <f t="shared" si="1"/>
        <v>83078.778002421066</v>
      </c>
      <c r="D25" s="6">
        <v>4.2096244086147649E-2</v>
      </c>
      <c r="E25" s="10">
        <f t="shared" si="0"/>
        <v>6923.2315002017558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EEF25-FA95-466A-8E62-4F5D3AECCF64}">
  <dimension ref="B1:G25"/>
  <sheetViews>
    <sheetView workbookViewId="0">
      <selection activeCell="C12" sqref="C12"/>
    </sheetView>
  </sheetViews>
  <sheetFormatPr defaultRowHeight="15" x14ac:dyDescent="0.25"/>
  <cols>
    <col min="2" max="2" width="16.28515625" style="3" bestFit="1" customWidth="1"/>
    <col min="3" max="3" width="52.42578125" bestFit="1" customWidth="1"/>
    <col min="4" max="4" width="33.85546875" bestFit="1" customWidth="1"/>
    <col min="5" max="5" width="21" bestFit="1" customWidth="1"/>
    <col min="6" max="6" width="31.7109375" bestFit="1" customWidth="1"/>
    <col min="7" max="7" width="12.140625" bestFit="1" customWidth="1"/>
  </cols>
  <sheetData>
    <row r="1" spans="2:6" ht="15.75" thickBot="1" x14ac:dyDescent="0.3"/>
    <row r="2" spans="2:6" x14ac:dyDescent="0.25">
      <c r="B2" s="27" t="s">
        <v>0</v>
      </c>
      <c r="C2" s="28" t="s">
        <v>32</v>
      </c>
      <c r="D2" s="28" t="s">
        <v>33</v>
      </c>
      <c r="E2" s="28" t="s">
        <v>34</v>
      </c>
      <c r="F2" s="29" t="s">
        <v>35</v>
      </c>
    </row>
    <row r="3" spans="2:6" x14ac:dyDescent="0.25">
      <c r="B3" s="30">
        <v>2003</v>
      </c>
      <c r="C3" s="31">
        <f>33211*0.68</f>
        <v>22583.480000000003</v>
      </c>
      <c r="D3" s="31">
        <f>+C3/12</f>
        <v>1881.9566666666669</v>
      </c>
      <c r="E3" s="32">
        <f>+'Residential Rates'!P3</f>
        <v>94.143587390000008</v>
      </c>
      <c r="F3" s="33">
        <f>+E3/D3</f>
        <v>5.002431196077841E-2</v>
      </c>
    </row>
    <row r="4" spans="2:6" x14ac:dyDescent="0.25">
      <c r="B4" s="30">
        <v>2004</v>
      </c>
      <c r="C4" s="31">
        <f>34094*0.68</f>
        <v>23183.920000000002</v>
      </c>
      <c r="D4" s="31">
        <f t="shared" ref="D4:D25" si="0">+C4/12</f>
        <v>1931.9933333333336</v>
      </c>
      <c r="E4" s="32">
        <f>+'Residential Rates'!P4</f>
        <v>98.666664199999985</v>
      </c>
      <c r="F4" s="33">
        <f t="shared" ref="F4:F24" si="1">+E4/D4</f>
        <v>5.1069878191436123E-2</v>
      </c>
    </row>
    <row r="5" spans="2:6" x14ac:dyDescent="0.25">
      <c r="B5" s="30">
        <v>2005</v>
      </c>
      <c r="C5" s="31">
        <f>34484*0.68</f>
        <v>23449.120000000003</v>
      </c>
      <c r="D5" s="31">
        <f t="shared" si="0"/>
        <v>1954.0933333333335</v>
      </c>
      <c r="E5" s="32">
        <f>+'Residential Rates'!P5</f>
        <v>98.071792420000008</v>
      </c>
      <c r="F5" s="33">
        <f t="shared" si="1"/>
        <v>5.0187875239667841E-2</v>
      </c>
    </row>
    <row r="6" spans="2:6" x14ac:dyDescent="0.25">
      <c r="B6" s="30">
        <v>2006</v>
      </c>
      <c r="C6" s="31">
        <f>35163*0.68</f>
        <v>23910.84</v>
      </c>
      <c r="D6" s="31">
        <f t="shared" si="0"/>
        <v>1992.57</v>
      </c>
      <c r="E6" s="32">
        <f>+'Residential Rates'!P6</f>
        <v>109.61025366999999</v>
      </c>
      <c r="F6" s="33">
        <f t="shared" si="1"/>
        <v>5.500948707950034E-2</v>
      </c>
    </row>
    <row r="7" spans="2:6" x14ac:dyDescent="0.25">
      <c r="B7" s="30">
        <v>2007</v>
      </c>
      <c r="C7" s="31">
        <f>36482*0.68</f>
        <v>24807.760000000002</v>
      </c>
      <c r="D7" s="31">
        <f t="shared" si="0"/>
        <v>2067.3133333333335</v>
      </c>
      <c r="E7" s="32">
        <f>+'Residential Rates'!P7</f>
        <v>114.54358688000002</v>
      </c>
      <c r="F7" s="33">
        <f t="shared" si="1"/>
        <v>5.5406979209731151E-2</v>
      </c>
    </row>
    <row r="8" spans="2:6" x14ac:dyDescent="0.25">
      <c r="B8" s="30">
        <v>2008</v>
      </c>
      <c r="C8" s="31">
        <f>37361*0.68</f>
        <v>25405.480000000003</v>
      </c>
      <c r="D8" s="31">
        <f t="shared" si="0"/>
        <v>2117.1233333333334</v>
      </c>
      <c r="E8" s="32">
        <f>+'Residential Rates'!P8</f>
        <v>114.37948432</v>
      </c>
      <c r="F8" s="33">
        <f t="shared" si="1"/>
        <v>5.4025895666604214E-2</v>
      </c>
    </row>
    <row r="9" spans="2:6" x14ac:dyDescent="0.25">
      <c r="B9" s="30">
        <v>2009</v>
      </c>
      <c r="C9" s="31">
        <f>39014*0.68</f>
        <v>26529.52</v>
      </c>
      <c r="D9" s="31">
        <f t="shared" si="0"/>
        <v>2210.7933333333335</v>
      </c>
      <c r="E9" s="32">
        <f>+'Residential Rates'!P9</f>
        <v>113.34358691000001</v>
      </c>
      <c r="F9" s="33">
        <f t="shared" si="1"/>
        <v>5.1268286909073368E-2</v>
      </c>
    </row>
    <row r="10" spans="2:6" x14ac:dyDescent="0.25">
      <c r="B10" s="30">
        <v>2010</v>
      </c>
      <c r="C10" s="31">
        <f>40208*0.68</f>
        <v>27341.440000000002</v>
      </c>
      <c r="D10" s="31">
        <f t="shared" si="0"/>
        <v>2278.4533333333334</v>
      </c>
      <c r="E10" s="32">
        <f>+'Residential Rates'!P10</f>
        <v>112.72820231</v>
      </c>
      <c r="F10" s="33">
        <f t="shared" si="1"/>
        <v>4.9475756497097442E-2</v>
      </c>
    </row>
    <row r="11" spans="2:6" x14ac:dyDescent="0.25">
      <c r="B11" s="30">
        <v>2011</v>
      </c>
      <c r="C11" s="31">
        <f>41881*0.68</f>
        <v>28479.08</v>
      </c>
      <c r="D11" s="31">
        <f t="shared" si="0"/>
        <v>2373.2566666666667</v>
      </c>
      <c r="E11" s="32">
        <f>+'Residential Rates'!P11</f>
        <v>107.01538194000001</v>
      </c>
      <c r="F11" s="33">
        <f t="shared" si="1"/>
        <v>4.5092207447712501E-2</v>
      </c>
    </row>
    <row r="12" spans="2:6" x14ac:dyDescent="0.25">
      <c r="B12" s="30">
        <v>2012</v>
      </c>
      <c r="C12" s="31">
        <f>40623*0.68</f>
        <v>27623.640000000003</v>
      </c>
      <c r="D12" s="31">
        <f t="shared" si="0"/>
        <v>2301.9700000000003</v>
      </c>
      <c r="E12" s="32">
        <f>+'Residential Rates'!P12</f>
        <v>106.89230501999999</v>
      </c>
      <c r="F12" s="33">
        <f t="shared" si="1"/>
        <v>4.6435142517061469E-2</v>
      </c>
    </row>
    <row r="13" spans="2:6" x14ac:dyDescent="0.25">
      <c r="B13" s="30">
        <v>2013</v>
      </c>
      <c r="C13" s="31">
        <f>39437*0.68</f>
        <v>26817.160000000003</v>
      </c>
      <c r="D13" s="31">
        <f t="shared" si="0"/>
        <v>2234.7633333333338</v>
      </c>
      <c r="E13" s="32">
        <f>+'Residential Rates'!P13</f>
        <v>108.25640754999999</v>
      </c>
      <c r="F13" s="33">
        <f t="shared" si="1"/>
        <v>4.8442000965053703E-2</v>
      </c>
    </row>
    <row r="14" spans="2:6" x14ac:dyDescent="0.25">
      <c r="B14" s="30">
        <v>2014</v>
      </c>
      <c r="C14" s="31">
        <f>39244*0.68</f>
        <v>26685.920000000002</v>
      </c>
      <c r="D14" s="31">
        <f t="shared" si="0"/>
        <v>2223.8266666666668</v>
      </c>
      <c r="E14" s="32">
        <f>+'Residential Rates'!P14</f>
        <v>110.14358699</v>
      </c>
      <c r="F14" s="33">
        <f t="shared" si="1"/>
        <v>4.9528854312686235E-2</v>
      </c>
    </row>
    <row r="15" spans="2:6" x14ac:dyDescent="0.25">
      <c r="B15" s="30">
        <v>2015</v>
      </c>
      <c r="C15" s="31">
        <f>39100*0.68</f>
        <v>26588.000000000004</v>
      </c>
      <c r="D15" s="31">
        <f t="shared" si="0"/>
        <v>2215.666666666667</v>
      </c>
      <c r="E15" s="32">
        <f>+'Residential Rates'!P15</f>
        <v>108.92307419999999</v>
      </c>
      <c r="F15" s="33">
        <f t="shared" si="1"/>
        <v>4.9160406589438835E-2</v>
      </c>
    </row>
    <row r="16" spans="2:6" x14ac:dyDescent="0.25">
      <c r="B16" s="30">
        <v>2016</v>
      </c>
      <c r="C16" s="31">
        <f>39458*0.68</f>
        <v>26831.440000000002</v>
      </c>
      <c r="D16" s="31">
        <f t="shared" si="0"/>
        <v>2235.9533333333334</v>
      </c>
      <c r="E16" s="32">
        <f>+'Residential Rates'!P16</f>
        <v>106.21538196000002</v>
      </c>
      <c r="F16" s="33">
        <f t="shared" si="1"/>
        <v>4.7503398383389045E-2</v>
      </c>
    </row>
    <row r="17" spans="2:7" x14ac:dyDescent="0.25">
      <c r="B17" s="30">
        <v>2017</v>
      </c>
      <c r="C17" s="31">
        <f>40586*0.68</f>
        <v>27598.480000000003</v>
      </c>
      <c r="D17" s="31">
        <f t="shared" si="0"/>
        <v>2299.8733333333334</v>
      </c>
      <c r="E17" s="32">
        <f>+'Residential Rates'!P17</f>
        <v>104.67692045999999</v>
      </c>
      <c r="F17" s="33">
        <f t="shared" si="1"/>
        <v>4.5514211127569336E-2</v>
      </c>
    </row>
    <row r="18" spans="2:7" x14ac:dyDescent="0.25">
      <c r="B18" s="30">
        <v>2018</v>
      </c>
      <c r="C18" s="31">
        <v>27859</v>
      </c>
      <c r="D18" s="31">
        <f t="shared" si="0"/>
        <v>2321.5833333333335</v>
      </c>
      <c r="E18" s="32">
        <f>+'Residential Rates'!P18</f>
        <v>107.85640755999999</v>
      </c>
      <c r="F18" s="33">
        <f t="shared" si="1"/>
        <v>4.6458124509853184E-2</v>
      </c>
    </row>
    <row r="19" spans="2:7" x14ac:dyDescent="0.25">
      <c r="B19" s="30">
        <v>2019</v>
      </c>
      <c r="C19" s="31">
        <v>28598</v>
      </c>
      <c r="D19" s="31">
        <f t="shared" si="0"/>
        <v>2383.1666666666665</v>
      </c>
      <c r="E19" s="32">
        <f>+'Residential Rates'!P19</f>
        <v>99.528202639999989</v>
      </c>
      <c r="F19" s="33">
        <f t="shared" si="1"/>
        <v>4.1763005513672284E-2</v>
      </c>
    </row>
    <row r="20" spans="2:7" x14ac:dyDescent="0.25">
      <c r="B20" s="30">
        <v>2020</v>
      </c>
      <c r="C20" s="31">
        <v>30058</v>
      </c>
      <c r="D20" s="31">
        <f t="shared" si="0"/>
        <v>2504.8333333333335</v>
      </c>
      <c r="E20" s="32">
        <f>+'Residential Rates'!P20</f>
        <v>102.19486923999999</v>
      </c>
      <c r="F20" s="33">
        <f t="shared" si="1"/>
        <v>4.0799069494976373E-2</v>
      </c>
    </row>
    <row r="21" spans="2:7" x14ac:dyDescent="0.25">
      <c r="B21" s="30">
        <v>2021</v>
      </c>
      <c r="C21" s="31">
        <v>31538</v>
      </c>
      <c r="D21" s="31">
        <f t="shared" si="0"/>
        <v>2628.1666666666665</v>
      </c>
      <c r="E21" s="32">
        <f>+'Residential Rates'!P21</f>
        <v>118.07179192</v>
      </c>
      <c r="F21" s="33">
        <f t="shared" si="1"/>
        <v>4.4925534372503011E-2</v>
      </c>
    </row>
    <row r="22" spans="2:7" x14ac:dyDescent="0.25">
      <c r="B22" s="30">
        <v>2022</v>
      </c>
      <c r="C22" s="31">
        <v>33079</v>
      </c>
      <c r="D22" s="31">
        <f t="shared" si="0"/>
        <v>2756.5833333333335</v>
      </c>
      <c r="E22" s="32">
        <f>+'Residential Rates'!P22</f>
        <v>132.17435567000001</v>
      </c>
      <c r="F22" s="33">
        <f t="shared" si="1"/>
        <v>4.7948615981136068E-2</v>
      </c>
    </row>
    <row r="23" spans="2:7" x14ac:dyDescent="0.25">
      <c r="B23" s="30">
        <v>2023</v>
      </c>
      <c r="C23" s="31">
        <v>34048</v>
      </c>
      <c r="D23" s="31">
        <f t="shared" si="0"/>
        <v>2837.3333333333335</v>
      </c>
      <c r="E23" s="32">
        <f>+'Residential Rates'!P23</f>
        <v>161.12820110000004</v>
      </c>
      <c r="F23" s="33">
        <f t="shared" si="1"/>
        <v>5.6788604710996254E-2</v>
      </c>
      <c r="G23" s="6"/>
    </row>
    <row r="24" spans="2:7" x14ac:dyDescent="0.25">
      <c r="B24" s="30">
        <v>2024</v>
      </c>
      <c r="C24" s="31">
        <v>36269</v>
      </c>
      <c r="D24" s="31">
        <f t="shared" si="0"/>
        <v>3022.4166666666665</v>
      </c>
      <c r="E24" s="32">
        <f>+'Residential Rates'!P24</f>
        <v>136.44102223000002</v>
      </c>
      <c r="F24" s="33">
        <f t="shared" si="1"/>
        <v>4.5143022050787178E-2</v>
      </c>
      <c r="G24" s="6"/>
    </row>
    <row r="25" spans="2:7" ht="15.75" thickBot="1" x14ac:dyDescent="0.3">
      <c r="B25" s="34">
        <v>2025</v>
      </c>
      <c r="C25" s="35">
        <v>39998</v>
      </c>
      <c r="D25" s="35">
        <f t="shared" si="0"/>
        <v>3333.1666666666665</v>
      </c>
      <c r="E25" s="36">
        <f>+'Residential Rates'!P25</f>
        <v>151.44096503151363</v>
      </c>
      <c r="F25" s="37">
        <f>+E25/D25</f>
        <v>4.5434561237515964E-2</v>
      </c>
      <c r="G25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A3EB8-5B2E-476E-9D8E-EFD2C25C679D}">
  <dimension ref="B2:G25"/>
  <sheetViews>
    <sheetView tabSelected="1" zoomScale="110" zoomScaleNormal="110" workbookViewId="0">
      <selection activeCell="D25" sqref="D25"/>
    </sheetView>
  </sheetViews>
  <sheetFormatPr defaultRowHeight="15" x14ac:dyDescent="0.25"/>
  <cols>
    <col min="2" max="2" width="9.140625" style="3"/>
    <col min="3" max="3" width="11.28515625" style="3" bestFit="1" customWidth="1"/>
    <col min="4" max="4" width="30.5703125" style="3" bestFit="1" customWidth="1"/>
    <col min="5" max="5" width="34.5703125" style="3" bestFit="1" customWidth="1"/>
  </cols>
  <sheetData>
    <row r="2" spans="2:5" x14ac:dyDescent="0.25">
      <c r="B2" s="1" t="s">
        <v>0</v>
      </c>
      <c r="C2" s="1" t="s">
        <v>36</v>
      </c>
      <c r="D2" s="1" t="s">
        <v>35</v>
      </c>
      <c r="E2" s="1" t="s">
        <v>37</v>
      </c>
    </row>
    <row r="3" spans="2:5" x14ac:dyDescent="0.25">
      <c r="B3" s="3">
        <v>2003</v>
      </c>
      <c r="C3" s="4">
        <f>+'Residential Rates'!P3</f>
        <v>94.143587390000008</v>
      </c>
      <c r="D3" s="6">
        <f t="shared" ref="D3:D25" si="0">+C3/E3</f>
        <v>5.002431196077841E-2</v>
      </c>
      <c r="E3" s="4">
        <f>+'LIHEAP Qualification Income'!D3</f>
        <v>1881.9566666666669</v>
      </c>
    </row>
    <row r="4" spans="2:5" x14ac:dyDescent="0.25">
      <c r="B4" s="3">
        <v>2004</v>
      </c>
      <c r="C4" s="4">
        <f>+'Residential Rates'!P4</f>
        <v>98.666664199999985</v>
      </c>
      <c r="D4" s="6">
        <f t="shared" si="0"/>
        <v>5.1069878191436123E-2</v>
      </c>
      <c r="E4" s="4">
        <f>+'LIHEAP Qualification Income'!D4</f>
        <v>1931.9933333333336</v>
      </c>
    </row>
    <row r="5" spans="2:5" x14ac:dyDescent="0.25">
      <c r="B5" s="3">
        <v>2005</v>
      </c>
      <c r="C5" s="4">
        <f>+'Residential Rates'!P5</f>
        <v>98.071792420000008</v>
      </c>
      <c r="D5" s="6">
        <f t="shared" si="0"/>
        <v>5.0187875239667841E-2</v>
      </c>
      <c r="E5" s="4">
        <f>+'LIHEAP Qualification Income'!D5</f>
        <v>1954.0933333333335</v>
      </c>
    </row>
    <row r="6" spans="2:5" x14ac:dyDescent="0.25">
      <c r="B6" s="3">
        <v>2006</v>
      </c>
      <c r="C6" s="4">
        <f>+'Residential Rates'!P6</f>
        <v>109.61025366999999</v>
      </c>
      <c r="D6" s="6">
        <f t="shared" si="0"/>
        <v>5.500948707950034E-2</v>
      </c>
      <c r="E6" s="4">
        <f>+'LIHEAP Qualification Income'!D6</f>
        <v>1992.57</v>
      </c>
    </row>
    <row r="7" spans="2:5" x14ac:dyDescent="0.25">
      <c r="B7" s="3">
        <v>2007</v>
      </c>
      <c r="C7" s="4">
        <f>+'Residential Rates'!P7</f>
        <v>114.54358688000002</v>
      </c>
      <c r="D7" s="6">
        <f t="shared" si="0"/>
        <v>5.5406979209731151E-2</v>
      </c>
      <c r="E7" s="4">
        <f>+'LIHEAP Qualification Income'!D7</f>
        <v>2067.3133333333335</v>
      </c>
    </row>
    <row r="8" spans="2:5" x14ac:dyDescent="0.25">
      <c r="B8" s="3">
        <v>2008</v>
      </c>
      <c r="C8" s="4">
        <f>+'Residential Rates'!P8</f>
        <v>114.37948432</v>
      </c>
      <c r="D8" s="6">
        <f t="shared" si="0"/>
        <v>5.4025895666604214E-2</v>
      </c>
      <c r="E8" s="4">
        <f>+'LIHEAP Qualification Income'!D8</f>
        <v>2117.1233333333334</v>
      </c>
    </row>
    <row r="9" spans="2:5" x14ac:dyDescent="0.25">
      <c r="B9" s="3">
        <v>2009</v>
      </c>
      <c r="C9" s="4">
        <f>+'Residential Rates'!P9</f>
        <v>113.34358691000001</v>
      </c>
      <c r="D9" s="6">
        <f t="shared" si="0"/>
        <v>5.1268286909073368E-2</v>
      </c>
      <c r="E9" s="4">
        <f>+'LIHEAP Qualification Income'!D9</f>
        <v>2210.7933333333335</v>
      </c>
    </row>
    <row r="10" spans="2:5" x14ac:dyDescent="0.25">
      <c r="B10" s="3">
        <v>2010</v>
      </c>
      <c r="C10" s="4">
        <f>+'Residential Rates'!P10</f>
        <v>112.72820231</v>
      </c>
      <c r="D10" s="6">
        <f t="shared" si="0"/>
        <v>4.9475756497097442E-2</v>
      </c>
      <c r="E10" s="4">
        <f>+'LIHEAP Qualification Income'!D10</f>
        <v>2278.4533333333334</v>
      </c>
    </row>
    <row r="11" spans="2:5" x14ac:dyDescent="0.25">
      <c r="B11" s="3">
        <v>2011</v>
      </c>
      <c r="C11" s="4">
        <f>+'Residential Rates'!P11</f>
        <v>107.01538194000001</v>
      </c>
      <c r="D11" s="6">
        <f t="shared" si="0"/>
        <v>4.5092207447712501E-2</v>
      </c>
      <c r="E11" s="4">
        <f>+'LIHEAP Qualification Income'!D11</f>
        <v>2373.2566666666667</v>
      </c>
    </row>
    <row r="12" spans="2:5" x14ac:dyDescent="0.25">
      <c r="B12" s="3">
        <v>2012</v>
      </c>
      <c r="C12" s="4">
        <f>+'Residential Rates'!P12</f>
        <v>106.89230501999999</v>
      </c>
      <c r="D12" s="6">
        <f t="shared" si="0"/>
        <v>4.6435142517061469E-2</v>
      </c>
      <c r="E12" s="4">
        <f>+'LIHEAP Qualification Income'!D12</f>
        <v>2301.9700000000003</v>
      </c>
    </row>
    <row r="13" spans="2:5" x14ac:dyDescent="0.25">
      <c r="B13" s="3">
        <v>2013</v>
      </c>
      <c r="C13" s="4">
        <f>+'Residential Rates'!P13</f>
        <v>108.25640754999999</v>
      </c>
      <c r="D13" s="6">
        <f t="shared" si="0"/>
        <v>4.8442000965053703E-2</v>
      </c>
      <c r="E13" s="4">
        <f>+'LIHEAP Qualification Income'!D13</f>
        <v>2234.7633333333338</v>
      </c>
    </row>
    <row r="14" spans="2:5" x14ac:dyDescent="0.25">
      <c r="B14" s="3">
        <v>2014</v>
      </c>
      <c r="C14" s="4">
        <f>+'Residential Rates'!P14</f>
        <v>110.14358699</v>
      </c>
      <c r="D14" s="6">
        <f t="shared" si="0"/>
        <v>4.9528854312686235E-2</v>
      </c>
      <c r="E14" s="4">
        <f>+'LIHEAP Qualification Income'!D14</f>
        <v>2223.8266666666668</v>
      </c>
    </row>
    <row r="15" spans="2:5" x14ac:dyDescent="0.25">
      <c r="B15" s="3">
        <v>2015</v>
      </c>
      <c r="C15" s="4">
        <f>+'Residential Rates'!P15</f>
        <v>108.92307419999999</v>
      </c>
      <c r="D15" s="6">
        <f t="shared" si="0"/>
        <v>4.9160406589438835E-2</v>
      </c>
      <c r="E15" s="4">
        <f>+'LIHEAP Qualification Income'!D15</f>
        <v>2215.666666666667</v>
      </c>
    </row>
    <row r="16" spans="2:5" x14ac:dyDescent="0.25">
      <c r="B16" s="3">
        <v>2016</v>
      </c>
      <c r="C16" s="4">
        <f>+'Residential Rates'!P16</f>
        <v>106.21538196000002</v>
      </c>
      <c r="D16" s="6">
        <f t="shared" si="0"/>
        <v>4.7503398383389045E-2</v>
      </c>
      <c r="E16" s="4">
        <f>+'LIHEAP Qualification Income'!D16</f>
        <v>2235.9533333333334</v>
      </c>
    </row>
    <row r="17" spans="2:7" x14ac:dyDescent="0.25">
      <c r="B17" s="3">
        <v>2017</v>
      </c>
      <c r="C17" s="4">
        <f>+'Residential Rates'!P17</f>
        <v>104.67692045999999</v>
      </c>
      <c r="D17" s="6">
        <f t="shared" si="0"/>
        <v>4.5514211127569336E-2</v>
      </c>
      <c r="E17" s="4">
        <f>+'LIHEAP Qualification Income'!D17</f>
        <v>2299.8733333333334</v>
      </c>
    </row>
    <row r="18" spans="2:7" x14ac:dyDescent="0.25">
      <c r="B18" s="3">
        <v>2018</v>
      </c>
      <c r="C18" s="4">
        <f>+'Residential Rates'!P18</f>
        <v>107.85640755999999</v>
      </c>
      <c r="D18" s="6">
        <f t="shared" si="0"/>
        <v>4.6458124509853184E-2</v>
      </c>
      <c r="E18" s="4">
        <f>+'LIHEAP Qualification Income'!D18</f>
        <v>2321.5833333333335</v>
      </c>
    </row>
    <row r="19" spans="2:7" x14ac:dyDescent="0.25">
      <c r="B19" s="3">
        <v>2019</v>
      </c>
      <c r="C19" s="4">
        <f>+'Residential Rates'!P19</f>
        <v>99.528202639999989</v>
      </c>
      <c r="D19" s="6">
        <f t="shared" si="0"/>
        <v>4.1763005513672284E-2</v>
      </c>
      <c r="E19" s="4">
        <f>+'LIHEAP Qualification Income'!D19</f>
        <v>2383.1666666666665</v>
      </c>
    </row>
    <row r="20" spans="2:7" x14ac:dyDescent="0.25">
      <c r="B20" s="3">
        <v>2020</v>
      </c>
      <c r="C20" s="4">
        <f>+'Residential Rates'!P20</f>
        <v>102.19486923999999</v>
      </c>
      <c r="D20" s="6">
        <f t="shared" si="0"/>
        <v>4.0799069494976373E-2</v>
      </c>
      <c r="E20" s="4">
        <f>+'LIHEAP Qualification Income'!D20</f>
        <v>2504.8333333333335</v>
      </c>
    </row>
    <row r="21" spans="2:7" x14ac:dyDescent="0.25">
      <c r="B21" s="3">
        <v>2021</v>
      </c>
      <c r="C21" s="4">
        <f>+'Residential Rates'!P21</f>
        <v>118.07179192</v>
      </c>
      <c r="D21" s="6">
        <f t="shared" si="0"/>
        <v>4.4925534372503011E-2</v>
      </c>
      <c r="E21" s="4">
        <f>+'LIHEAP Qualification Income'!D21</f>
        <v>2628.1666666666665</v>
      </c>
    </row>
    <row r="22" spans="2:7" x14ac:dyDescent="0.25">
      <c r="B22" s="3">
        <v>2022</v>
      </c>
      <c r="C22" s="4">
        <f>+'Residential Rates'!P22</f>
        <v>132.17435567000001</v>
      </c>
      <c r="D22" s="6">
        <f t="shared" si="0"/>
        <v>4.7948615981136068E-2</v>
      </c>
      <c r="E22" s="4">
        <f>+'LIHEAP Qualification Income'!D22</f>
        <v>2756.5833333333335</v>
      </c>
    </row>
    <row r="23" spans="2:7" x14ac:dyDescent="0.25">
      <c r="B23" s="3">
        <v>2023</v>
      </c>
      <c r="C23" s="4">
        <f>+'Residential Rates'!P23</f>
        <v>161.12820110000004</v>
      </c>
      <c r="D23" s="6">
        <f t="shared" si="0"/>
        <v>5.6788604710996254E-2</v>
      </c>
      <c r="E23" s="4">
        <f>+'LIHEAP Qualification Income'!D23</f>
        <v>2837.3333333333335</v>
      </c>
    </row>
    <row r="24" spans="2:7" x14ac:dyDescent="0.25">
      <c r="B24" s="3">
        <v>2024</v>
      </c>
      <c r="C24" s="4">
        <f>+'Residential Rates'!P24</f>
        <v>136.44102223000002</v>
      </c>
      <c r="D24" s="6">
        <f t="shared" si="0"/>
        <v>4.5143022050787178E-2</v>
      </c>
      <c r="E24" s="4">
        <f>+'LIHEAP Qualification Income'!D24</f>
        <v>3022.4166666666665</v>
      </c>
    </row>
    <row r="25" spans="2:7" x14ac:dyDescent="0.25">
      <c r="B25" s="3">
        <v>2025</v>
      </c>
      <c r="C25" s="4">
        <f>+'Residential Rates'!P25</f>
        <v>151.44096503151363</v>
      </c>
      <c r="D25" s="6">
        <f t="shared" si="0"/>
        <v>4.5434561237515964E-2</v>
      </c>
      <c r="E25" s="4">
        <f>+'LIHEAP Qualification Income'!D25</f>
        <v>3333.1666666666665</v>
      </c>
      <c r="F25" s="25"/>
      <c r="G25" s="2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CA7BB-22C3-4B0D-A07E-AC9949BD11B8}">
  <dimension ref="A1:M51"/>
  <sheetViews>
    <sheetView workbookViewId="0">
      <selection activeCell="N12" sqref="N12"/>
    </sheetView>
  </sheetViews>
  <sheetFormatPr defaultColWidth="9.140625" defaultRowHeight="12.75" x14ac:dyDescent="0.2"/>
  <cols>
    <col min="1" max="1" width="7.42578125" style="15" customWidth="1"/>
    <col min="2" max="2" width="8" style="15" bestFit="1" customWidth="1"/>
    <col min="3" max="9" width="9" style="15" bestFit="1" customWidth="1"/>
    <col min="10" max="10" width="11" style="15" bestFit="1" customWidth="1"/>
    <col min="11" max="11" width="2.140625" style="15" customWidth="1"/>
    <col min="12" max="16384" width="9.140625" style="15"/>
  </cols>
  <sheetData>
    <row r="1" spans="1:13" ht="15.75" x14ac:dyDescent="0.25">
      <c r="A1" s="39" t="s">
        <v>38</v>
      </c>
      <c r="B1" s="39"/>
      <c r="C1" s="39"/>
      <c r="D1" s="39"/>
      <c r="E1" s="39"/>
      <c r="F1" s="39"/>
      <c r="G1" s="39"/>
      <c r="H1" s="39"/>
      <c r="I1" s="39"/>
      <c r="J1" s="39"/>
      <c r="M1" t="s">
        <v>39</v>
      </c>
    </row>
    <row r="4" spans="1:13" ht="36" x14ac:dyDescent="0.2">
      <c r="A4" s="16" t="s">
        <v>0</v>
      </c>
      <c r="B4" s="16" t="s">
        <v>40</v>
      </c>
      <c r="C4" s="16" t="s">
        <v>41</v>
      </c>
      <c r="D4" s="16" t="s">
        <v>42</v>
      </c>
      <c r="E4" s="16" t="s">
        <v>43</v>
      </c>
      <c r="F4" s="16" t="s">
        <v>44</v>
      </c>
      <c r="G4" s="16" t="s">
        <v>45</v>
      </c>
      <c r="H4" s="16" t="s">
        <v>46</v>
      </c>
      <c r="I4" s="16" t="s">
        <v>47</v>
      </c>
      <c r="J4" s="17" t="s">
        <v>48</v>
      </c>
    </row>
    <row r="5" spans="1:13" x14ac:dyDescent="0.2">
      <c r="A5" s="18">
        <v>2024</v>
      </c>
      <c r="B5" s="19">
        <v>15060</v>
      </c>
      <c r="C5" s="19">
        <v>20440</v>
      </c>
      <c r="D5" s="19">
        <v>25820</v>
      </c>
      <c r="E5" s="19">
        <v>31200</v>
      </c>
      <c r="F5" s="19">
        <v>36580</v>
      </c>
      <c r="G5" s="19">
        <v>41960</v>
      </c>
      <c r="H5" s="19">
        <v>47340</v>
      </c>
      <c r="I5" s="19">
        <v>52720</v>
      </c>
      <c r="J5" s="20">
        <v>5380</v>
      </c>
    </row>
    <row r="6" spans="1:13" x14ac:dyDescent="0.2">
      <c r="A6" s="18">
        <v>2023</v>
      </c>
      <c r="B6" s="19">
        <v>14580</v>
      </c>
      <c r="C6" s="19">
        <v>19720</v>
      </c>
      <c r="D6" s="19">
        <v>24860</v>
      </c>
      <c r="E6" s="19">
        <v>30000</v>
      </c>
      <c r="F6" s="19">
        <v>35140</v>
      </c>
      <c r="G6" s="19">
        <v>40280</v>
      </c>
      <c r="H6" s="19">
        <v>45420</v>
      </c>
      <c r="I6" s="19">
        <v>50560</v>
      </c>
      <c r="J6" s="20">
        <v>5140</v>
      </c>
    </row>
    <row r="7" spans="1:13" x14ac:dyDescent="0.2">
      <c r="A7" s="18">
        <v>2022</v>
      </c>
      <c r="B7" s="19">
        <v>13590</v>
      </c>
      <c r="C7" s="19">
        <v>18310</v>
      </c>
      <c r="D7" s="19">
        <v>23030</v>
      </c>
      <c r="E7" s="19">
        <v>27750</v>
      </c>
      <c r="F7" s="19">
        <v>32470</v>
      </c>
      <c r="G7" s="19">
        <v>37190</v>
      </c>
      <c r="H7" s="19">
        <v>41910</v>
      </c>
      <c r="I7" s="19">
        <v>46630</v>
      </c>
      <c r="J7" s="20">
        <v>4720</v>
      </c>
    </row>
    <row r="8" spans="1:13" x14ac:dyDescent="0.2">
      <c r="A8" s="18">
        <v>2021</v>
      </c>
      <c r="B8" s="19">
        <v>12880</v>
      </c>
      <c r="C8" s="19">
        <v>17420</v>
      </c>
      <c r="D8" s="19">
        <v>21960</v>
      </c>
      <c r="E8" s="19">
        <v>26500</v>
      </c>
      <c r="F8" s="19">
        <v>31040</v>
      </c>
      <c r="G8" s="19">
        <v>35580</v>
      </c>
      <c r="H8" s="19">
        <v>40120</v>
      </c>
      <c r="I8" s="19">
        <v>44660</v>
      </c>
      <c r="J8" s="20">
        <v>4540</v>
      </c>
    </row>
    <row r="9" spans="1:13" x14ac:dyDescent="0.2">
      <c r="A9" s="18">
        <v>2020</v>
      </c>
      <c r="B9" s="19">
        <v>12760</v>
      </c>
      <c r="C9" s="19">
        <v>17240</v>
      </c>
      <c r="D9" s="19">
        <v>21720</v>
      </c>
      <c r="E9" s="19">
        <v>26200</v>
      </c>
      <c r="F9" s="19">
        <v>30680</v>
      </c>
      <c r="G9" s="19">
        <v>35160</v>
      </c>
      <c r="H9" s="19">
        <v>39640</v>
      </c>
      <c r="I9" s="19">
        <v>44120</v>
      </c>
      <c r="J9" s="20">
        <v>4480</v>
      </c>
    </row>
    <row r="10" spans="1:13" x14ac:dyDescent="0.2">
      <c r="A10" s="18">
        <v>2019</v>
      </c>
      <c r="B10" s="19">
        <v>12490</v>
      </c>
      <c r="C10" s="19">
        <v>16910</v>
      </c>
      <c r="D10" s="19">
        <v>21330</v>
      </c>
      <c r="E10" s="19">
        <v>25750</v>
      </c>
      <c r="F10" s="19">
        <v>30170</v>
      </c>
      <c r="G10" s="19">
        <v>34590</v>
      </c>
      <c r="H10" s="19">
        <v>39010</v>
      </c>
      <c r="I10" s="19">
        <v>43430</v>
      </c>
      <c r="J10" s="20">
        <v>4420</v>
      </c>
    </row>
    <row r="11" spans="1:13" x14ac:dyDescent="0.2">
      <c r="A11" s="18">
        <v>2018</v>
      </c>
      <c r="B11" s="19">
        <v>12140</v>
      </c>
      <c r="C11" s="19">
        <v>16460</v>
      </c>
      <c r="D11" s="19">
        <v>20780</v>
      </c>
      <c r="E11" s="19">
        <v>25100</v>
      </c>
      <c r="F11" s="19">
        <v>29420</v>
      </c>
      <c r="G11" s="19">
        <v>33740</v>
      </c>
      <c r="H11" s="19">
        <v>38060</v>
      </c>
      <c r="I11" s="19">
        <v>42380</v>
      </c>
      <c r="J11" s="20">
        <v>4320</v>
      </c>
    </row>
    <row r="12" spans="1:13" x14ac:dyDescent="0.2">
      <c r="A12" s="18">
        <v>2017</v>
      </c>
      <c r="B12" s="19">
        <v>12060</v>
      </c>
      <c r="C12" s="19">
        <v>16240</v>
      </c>
      <c r="D12" s="19">
        <v>20420</v>
      </c>
      <c r="E12" s="19">
        <v>24600</v>
      </c>
      <c r="F12" s="19">
        <v>28780</v>
      </c>
      <c r="G12" s="19">
        <v>32960</v>
      </c>
      <c r="H12" s="19">
        <v>37140</v>
      </c>
      <c r="I12" s="19">
        <v>41320</v>
      </c>
      <c r="J12" s="20">
        <v>4180</v>
      </c>
    </row>
    <row r="13" spans="1:13" x14ac:dyDescent="0.2">
      <c r="A13" s="18">
        <v>2016</v>
      </c>
      <c r="B13" s="19">
        <v>11880</v>
      </c>
      <c r="C13" s="19">
        <v>16020</v>
      </c>
      <c r="D13" s="19">
        <v>20160</v>
      </c>
      <c r="E13" s="19">
        <v>24300</v>
      </c>
      <c r="F13" s="19">
        <v>28440</v>
      </c>
      <c r="G13" s="19">
        <v>32580</v>
      </c>
      <c r="H13" s="19">
        <v>36730</v>
      </c>
      <c r="I13" s="19">
        <v>40890</v>
      </c>
      <c r="J13" s="20">
        <v>4160</v>
      </c>
      <c r="K13" s="21"/>
    </row>
    <row r="14" spans="1:13" x14ac:dyDescent="0.2">
      <c r="A14" s="18">
        <v>2015</v>
      </c>
      <c r="B14" s="19">
        <v>11770</v>
      </c>
      <c r="C14" s="19">
        <v>15930</v>
      </c>
      <c r="D14" s="19">
        <v>20090</v>
      </c>
      <c r="E14" s="19">
        <v>24250</v>
      </c>
      <c r="F14" s="19">
        <v>28410</v>
      </c>
      <c r="G14" s="19">
        <v>32570</v>
      </c>
      <c r="H14" s="19">
        <v>36730</v>
      </c>
      <c r="I14" s="19">
        <v>40890</v>
      </c>
      <c r="J14" s="20">
        <v>4160</v>
      </c>
    </row>
    <row r="15" spans="1:13" x14ac:dyDescent="0.2">
      <c r="A15" s="18">
        <v>2014</v>
      </c>
      <c r="B15" s="19">
        <v>11670</v>
      </c>
      <c r="C15" s="19">
        <v>15730</v>
      </c>
      <c r="D15" s="19">
        <v>19790</v>
      </c>
      <c r="E15" s="19">
        <v>23850</v>
      </c>
      <c r="F15" s="19">
        <v>27910</v>
      </c>
      <c r="G15" s="19">
        <v>31970</v>
      </c>
      <c r="H15" s="19">
        <v>36030</v>
      </c>
      <c r="I15" s="19">
        <v>40090</v>
      </c>
      <c r="J15" s="20">
        <v>4060</v>
      </c>
    </row>
    <row r="16" spans="1:13" x14ac:dyDescent="0.2">
      <c r="A16" s="18">
        <v>2013</v>
      </c>
      <c r="B16" s="19">
        <v>11490</v>
      </c>
      <c r="C16" s="19">
        <v>15510</v>
      </c>
      <c r="D16" s="19">
        <v>19530</v>
      </c>
      <c r="E16" s="19">
        <v>23550</v>
      </c>
      <c r="F16" s="19">
        <v>27570</v>
      </c>
      <c r="G16" s="19">
        <v>31590</v>
      </c>
      <c r="H16" s="19">
        <v>35610</v>
      </c>
      <c r="I16" s="19">
        <v>39630</v>
      </c>
      <c r="J16" s="20">
        <v>4020</v>
      </c>
    </row>
    <row r="17" spans="1:10" x14ac:dyDescent="0.2">
      <c r="A17" s="18">
        <v>2012</v>
      </c>
      <c r="B17" s="19">
        <v>11170</v>
      </c>
      <c r="C17" s="19">
        <v>15130</v>
      </c>
      <c r="D17" s="19">
        <v>19090</v>
      </c>
      <c r="E17" s="19">
        <v>23050</v>
      </c>
      <c r="F17" s="19">
        <v>27010</v>
      </c>
      <c r="G17" s="19">
        <v>30970</v>
      </c>
      <c r="H17" s="19">
        <v>34930</v>
      </c>
      <c r="I17" s="19">
        <v>38890</v>
      </c>
      <c r="J17" s="20">
        <v>3960</v>
      </c>
    </row>
    <row r="18" spans="1:10" x14ac:dyDescent="0.2">
      <c r="A18" s="18">
        <v>2011</v>
      </c>
      <c r="B18" s="19">
        <v>10890</v>
      </c>
      <c r="C18" s="19">
        <v>14710</v>
      </c>
      <c r="D18" s="19">
        <v>18530</v>
      </c>
      <c r="E18" s="19">
        <v>22350</v>
      </c>
      <c r="F18" s="19">
        <v>26170</v>
      </c>
      <c r="G18" s="19">
        <v>29990</v>
      </c>
      <c r="H18" s="19">
        <v>33810</v>
      </c>
      <c r="I18" s="19">
        <v>37630</v>
      </c>
      <c r="J18" s="20">
        <v>3820</v>
      </c>
    </row>
    <row r="19" spans="1:10" x14ac:dyDescent="0.2">
      <c r="A19" s="18">
        <v>2010</v>
      </c>
      <c r="B19" s="19">
        <v>10830</v>
      </c>
      <c r="C19" s="19">
        <v>14570</v>
      </c>
      <c r="D19" s="19">
        <v>18310</v>
      </c>
      <c r="E19" s="19">
        <v>22050</v>
      </c>
      <c r="F19" s="19">
        <v>25790</v>
      </c>
      <c r="G19" s="19">
        <v>29530</v>
      </c>
      <c r="H19" s="19">
        <v>33270</v>
      </c>
      <c r="I19" s="19">
        <v>37010</v>
      </c>
      <c r="J19" s="20">
        <v>3740</v>
      </c>
    </row>
    <row r="20" spans="1:10" x14ac:dyDescent="0.2">
      <c r="A20" s="18">
        <v>2009</v>
      </c>
      <c r="B20" s="19">
        <v>10830</v>
      </c>
      <c r="C20" s="19">
        <v>14570</v>
      </c>
      <c r="D20" s="19">
        <v>18310</v>
      </c>
      <c r="E20" s="19">
        <v>22050</v>
      </c>
      <c r="F20" s="19">
        <v>25790</v>
      </c>
      <c r="G20" s="19">
        <v>29530</v>
      </c>
      <c r="H20" s="19">
        <v>33270</v>
      </c>
      <c r="I20" s="19">
        <v>37010</v>
      </c>
      <c r="J20" s="20">
        <v>3740</v>
      </c>
    </row>
    <row r="21" spans="1:10" x14ac:dyDescent="0.2">
      <c r="A21" s="18">
        <v>2008</v>
      </c>
      <c r="B21" s="19">
        <v>10400</v>
      </c>
      <c r="C21" s="19">
        <v>14000</v>
      </c>
      <c r="D21" s="19">
        <v>17600</v>
      </c>
      <c r="E21" s="19">
        <v>21200</v>
      </c>
      <c r="F21" s="19">
        <v>24800</v>
      </c>
      <c r="G21" s="19">
        <v>28400</v>
      </c>
      <c r="H21" s="19">
        <v>32000</v>
      </c>
      <c r="I21" s="19">
        <v>35600</v>
      </c>
      <c r="J21" s="20">
        <v>3600</v>
      </c>
    </row>
    <row r="22" spans="1:10" x14ac:dyDescent="0.2">
      <c r="A22" s="18">
        <v>2007</v>
      </c>
      <c r="B22" s="19">
        <v>10210</v>
      </c>
      <c r="C22" s="19">
        <v>13690</v>
      </c>
      <c r="D22" s="19">
        <v>17170</v>
      </c>
      <c r="E22" s="19">
        <v>20650</v>
      </c>
      <c r="F22" s="19">
        <v>24130</v>
      </c>
      <c r="G22" s="19">
        <v>27610</v>
      </c>
      <c r="H22" s="19">
        <v>31090</v>
      </c>
      <c r="I22" s="19">
        <v>34570</v>
      </c>
      <c r="J22" s="20">
        <v>3480</v>
      </c>
    </row>
    <row r="23" spans="1:10" x14ac:dyDescent="0.2">
      <c r="A23" s="18">
        <v>2006</v>
      </c>
      <c r="B23" s="19">
        <v>9800</v>
      </c>
      <c r="C23" s="19">
        <v>13200</v>
      </c>
      <c r="D23" s="19">
        <v>16600</v>
      </c>
      <c r="E23" s="19">
        <v>20000</v>
      </c>
      <c r="F23" s="19">
        <v>23400</v>
      </c>
      <c r="G23" s="19">
        <v>26800</v>
      </c>
      <c r="H23" s="19">
        <v>30200</v>
      </c>
      <c r="I23" s="19">
        <v>33600</v>
      </c>
      <c r="J23" s="20">
        <v>3400</v>
      </c>
    </row>
    <row r="24" spans="1:10" x14ac:dyDescent="0.2">
      <c r="A24" s="18">
        <v>2005</v>
      </c>
      <c r="B24" s="19">
        <v>9570</v>
      </c>
      <c r="C24" s="19">
        <v>12830</v>
      </c>
      <c r="D24" s="19">
        <v>16090</v>
      </c>
      <c r="E24" s="19">
        <v>19350</v>
      </c>
      <c r="F24" s="19">
        <v>22610</v>
      </c>
      <c r="G24" s="19">
        <v>25870</v>
      </c>
      <c r="H24" s="19">
        <v>29130</v>
      </c>
      <c r="I24" s="19">
        <v>32390</v>
      </c>
      <c r="J24" s="20">
        <v>3260</v>
      </c>
    </row>
    <row r="25" spans="1:10" x14ac:dyDescent="0.2">
      <c r="A25" s="18">
        <v>2004</v>
      </c>
      <c r="B25" s="19">
        <v>9310</v>
      </c>
      <c r="C25" s="19">
        <v>12490</v>
      </c>
      <c r="D25" s="19">
        <v>15670</v>
      </c>
      <c r="E25" s="19">
        <v>18850</v>
      </c>
      <c r="F25" s="19">
        <v>22030</v>
      </c>
      <c r="G25" s="19">
        <v>25210</v>
      </c>
      <c r="H25" s="19">
        <v>28390</v>
      </c>
      <c r="I25" s="19">
        <v>31570</v>
      </c>
      <c r="J25" s="20">
        <v>3180</v>
      </c>
    </row>
    <row r="26" spans="1:10" x14ac:dyDescent="0.2">
      <c r="A26" s="18">
        <v>2003</v>
      </c>
      <c r="B26" s="19">
        <v>8980</v>
      </c>
      <c r="C26" s="19">
        <v>12120</v>
      </c>
      <c r="D26" s="19">
        <v>15260</v>
      </c>
      <c r="E26" s="19">
        <v>18400</v>
      </c>
      <c r="F26" s="19">
        <v>21540</v>
      </c>
      <c r="G26" s="19">
        <v>24680</v>
      </c>
      <c r="H26" s="19">
        <v>27820</v>
      </c>
      <c r="I26" s="19">
        <v>30960</v>
      </c>
      <c r="J26" s="20">
        <v>3140</v>
      </c>
    </row>
    <row r="27" spans="1:10" x14ac:dyDescent="0.2">
      <c r="A27" s="18">
        <v>2002</v>
      </c>
      <c r="B27" s="19">
        <v>8860</v>
      </c>
      <c r="C27" s="19">
        <v>11940</v>
      </c>
      <c r="D27" s="19">
        <v>15020</v>
      </c>
      <c r="E27" s="19">
        <v>18100</v>
      </c>
      <c r="F27" s="19">
        <v>21180</v>
      </c>
      <c r="G27" s="19">
        <v>24260</v>
      </c>
      <c r="H27" s="19">
        <v>27340</v>
      </c>
      <c r="I27" s="19">
        <v>30420</v>
      </c>
      <c r="J27" s="20">
        <v>3080</v>
      </c>
    </row>
    <row r="28" spans="1:10" x14ac:dyDescent="0.2">
      <c r="A28" s="18">
        <v>2001</v>
      </c>
      <c r="B28" s="19">
        <v>8590</v>
      </c>
      <c r="C28" s="19">
        <v>11610</v>
      </c>
      <c r="D28" s="19">
        <v>14630</v>
      </c>
      <c r="E28" s="19">
        <v>17650</v>
      </c>
      <c r="F28" s="19">
        <v>20670</v>
      </c>
      <c r="G28" s="19">
        <v>23690</v>
      </c>
      <c r="H28" s="19">
        <v>26710</v>
      </c>
      <c r="I28" s="19">
        <v>29730</v>
      </c>
      <c r="J28" s="20">
        <v>3020</v>
      </c>
    </row>
    <row r="29" spans="1:10" x14ac:dyDescent="0.2">
      <c r="A29" s="18">
        <v>2000</v>
      </c>
      <c r="B29" s="19">
        <v>8350</v>
      </c>
      <c r="C29" s="19">
        <v>11250</v>
      </c>
      <c r="D29" s="19">
        <v>14150</v>
      </c>
      <c r="E29" s="19">
        <v>17050</v>
      </c>
      <c r="F29" s="19">
        <v>19950</v>
      </c>
      <c r="G29" s="19">
        <v>22850</v>
      </c>
      <c r="H29" s="19">
        <v>25750</v>
      </c>
      <c r="I29" s="19">
        <v>28650</v>
      </c>
      <c r="J29" s="20">
        <v>2900</v>
      </c>
    </row>
    <row r="30" spans="1:10" x14ac:dyDescent="0.2">
      <c r="A30" s="18">
        <v>1999</v>
      </c>
      <c r="B30" s="19">
        <v>8240</v>
      </c>
      <c r="C30" s="19">
        <v>11060</v>
      </c>
      <c r="D30" s="19">
        <v>13880</v>
      </c>
      <c r="E30" s="19">
        <v>16700</v>
      </c>
      <c r="F30" s="19">
        <v>19520</v>
      </c>
      <c r="G30" s="19">
        <v>22340</v>
      </c>
      <c r="H30" s="19">
        <v>25160</v>
      </c>
      <c r="I30" s="19">
        <v>27980</v>
      </c>
      <c r="J30" s="20">
        <v>2820</v>
      </c>
    </row>
    <row r="31" spans="1:10" x14ac:dyDescent="0.2">
      <c r="A31" s="18">
        <v>1998</v>
      </c>
      <c r="B31" s="19">
        <v>8050</v>
      </c>
      <c r="C31" s="19">
        <v>10850</v>
      </c>
      <c r="D31" s="19">
        <v>13650</v>
      </c>
      <c r="E31" s="19">
        <v>16450</v>
      </c>
      <c r="F31" s="19">
        <v>19250</v>
      </c>
      <c r="G31" s="19">
        <v>22050</v>
      </c>
      <c r="H31" s="19">
        <v>24850</v>
      </c>
      <c r="I31" s="19">
        <v>27650</v>
      </c>
      <c r="J31" s="20">
        <v>2800</v>
      </c>
    </row>
    <row r="32" spans="1:10" x14ac:dyDescent="0.2">
      <c r="A32" s="18">
        <v>1997</v>
      </c>
      <c r="B32" s="19">
        <v>7890</v>
      </c>
      <c r="C32" s="19">
        <v>10610</v>
      </c>
      <c r="D32" s="19">
        <v>13330</v>
      </c>
      <c r="E32" s="19">
        <v>16050</v>
      </c>
      <c r="F32" s="19">
        <v>18770</v>
      </c>
      <c r="G32" s="19">
        <v>21490</v>
      </c>
      <c r="H32" s="19">
        <v>24210</v>
      </c>
      <c r="I32" s="19">
        <v>26930</v>
      </c>
      <c r="J32" s="20">
        <v>2720</v>
      </c>
    </row>
    <row r="33" spans="1:10" x14ac:dyDescent="0.2">
      <c r="A33" s="18">
        <v>1996</v>
      </c>
      <c r="B33" s="19">
        <v>7740</v>
      </c>
      <c r="C33" s="19">
        <v>10360</v>
      </c>
      <c r="D33" s="19">
        <v>12980</v>
      </c>
      <c r="E33" s="19">
        <v>15600</v>
      </c>
      <c r="F33" s="19">
        <v>18220</v>
      </c>
      <c r="G33" s="19">
        <v>20840</v>
      </c>
      <c r="H33" s="19">
        <v>23460</v>
      </c>
      <c r="I33" s="19">
        <v>26080</v>
      </c>
      <c r="J33" s="20">
        <v>2620</v>
      </c>
    </row>
    <row r="34" spans="1:10" x14ac:dyDescent="0.2">
      <c r="A34" s="18">
        <v>1995</v>
      </c>
      <c r="B34" s="19">
        <v>7470</v>
      </c>
      <c r="C34" s="19">
        <v>10030</v>
      </c>
      <c r="D34" s="19">
        <v>12590</v>
      </c>
      <c r="E34" s="19">
        <v>15150</v>
      </c>
      <c r="F34" s="19">
        <v>17710</v>
      </c>
      <c r="G34" s="19">
        <v>20270</v>
      </c>
      <c r="H34" s="19">
        <v>22830</v>
      </c>
      <c r="I34" s="19">
        <v>25390</v>
      </c>
      <c r="J34" s="20">
        <v>2560</v>
      </c>
    </row>
    <row r="35" spans="1:10" x14ac:dyDescent="0.2">
      <c r="A35" s="18">
        <v>1994</v>
      </c>
      <c r="B35" s="19">
        <v>7360</v>
      </c>
      <c r="C35" s="19">
        <v>9840</v>
      </c>
      <c r="D35" s="19">
        <v>12320</v>
      </c>
      <c r="E35" s="19">
        <v>14800</v>
      </c>
      <c r="F35" s="19">
        <v>17280</v>
      </c>
      <c r="G35" s="19">
        <v>19760</v>
      </c>
      <c r="H35" s="19">
        <v>22240</v>
      </c>
      <c r="I35" s="19">
        <v>24720</v>
      </c>
      <c r="J35" s="20">
        <v>2480</v>
      </c>
    </row>
    <row r="36" spans="1:10" x14ac:dyDescent="0.2">
      <c r="A36" s="18">
        <v>1993</v>
      </c>
      <c r="B36" s="19">
        <v>6970</v>
      </c>
      <c r="C36" s="19">
        <v>9430</v>
      </c>
      <c r="D36" s="19">
        <v>11890</v>
      </c>
      <c r="E36" s="19">
        <v>14350</v>
      </c>
      <c r="F36" s="19">
        <v>16810</v>
      </c>
      <c r="G36" s="19">
        <v>19270</v>
      </c>
      <c r="H36" s="19">
        <v>21730</v>
      </c>
      <c r="I36" s="19">
        <v>24190</v>
      </c>
      <c r="J36" s="20">
        <v>2460</v>
      </c>
    </row>
    <row r="37" spans="1:10" x14ac:dyDescent="0.2">
      <c r="A37" s="18">
        <v>1992</v>
      </c>
      <c r="B37" s="19">
        <v>6810</v>
      </c>
      <c r="C37" s="19">
        <v>9190</v>
      </c>
      <c r="D37" s="19">
        <v>11570</v>
      </c>
      <c r="E37" s="19">
        <v>13950</v>
      </c>
      <c r="F37" s="19">
        <v>16330</v>
      </c>
      <c r="G37" s="19">
        <v>18710</v>
      </c>
      <c r="H37" s="19">
        <v>21090</v>
      </c>
      <c r="I37" s="19">
        <v>23470</v>
      </c>
      <c r="J37" s="20">
        <v>2380</v>
      </c>
    </row>
    <row r="38" spans="1:10" x14ac:dyDescent="0.2">
      <c r="A38" s="18">
        <v>1991</v>
      </c>
      <c r="B38" s="19">
        <v>6620</v>
      </c>
      <c r="C38" s="19">
        <v>8880</v>
      </c>
      <c r="D38" s="19">
        <v>11140</v>
      </c>
      <c r="E38" s="19">
        <v>13400</v>
      </c>
      <c r="F38" s="19">
        <v>15660</v>
      </c>
      <c r="G38" s="19">
        <v>17920</v>
      </c>
      <c r="H38" s="19">
        <v>20180</v>
      </c>
      <c r="I38" s="19">
        <v>22440</v>
      </c>
      <c r="J38" s="20">
        <v>2260</v>
      </c>
    </row>
    <row r="39" spans="1:10" x14ac:dyDescent="0.2">
      <c r="A39" s="18">
        <v>1990</v>
      </c>
      <c r="B39" s="19">
        <v>6280</v>
      </c>
      <c r="C39" s="19">
        <v>8420</v>
      </c>
      <c r="D39" s="19">
        <v>10560</v>
      </c>
      <c r="E39" s="19">
        <v>12700</v>
      </c>
      <c r="F39" s="19">
        <v>14840</v>
      </c>
      <c r="G39" s="19">
        <v>16980</v>
      </c>
      <c r="H39" s="19">
        <v>19120</v>
      </c>
      <c r="I39" s="19">
        <v>21260</v>
      </c>
      <c r="J39" s="20">
        <v>2140</v>
      </c>
    </row>
    <row r="40" spans="1:10" x14ac:dyDescent="0.2">
      <c r="A40" s="18">
        <v>1989</v>
      </c>
      <c r="B40" s="19">
        <v>5980</v>
      </c>
      <c r="C40" s="19">
        <v>8020</v>
      </c>
      <c r="D40" s="19">
        <v>10060</v>
      </c>
      <c r="E40" s="19">
        <v>12100</v>
      </c>
      <c r="F40" s="19">
        <v>14140</v>
      </c>
      <c r="G40" s="19">
        <v>16180</v>
      </c>
      <c r="H40" s="19">
        <v>18220</v>
      </c>
      <c r="I40" s="19">
        <v>20260</v>
      </c>
      <c r="J40" s="20">
        <v>2040</v>
      </c>
    </row>
    <row r="41" spans="1:10" x14ac:dyDescent="0.2">
      <c r="A41" s="18">
        <v>1988</v>
      </c>
      <c r="B41" s="19">
        <v>5770</v>
      </c>
      <c r="C41" s="19">
        <v>7730</v>
      </c>
      <c r="D41" s="19">
        <v>9690</v>
      </c>
      <c r="E41" s="19">
        <v>11650</v>
      </c>
      <c r="F41" s="19">
        <v>13610</v>
      </c>
      <c r="G41" s="19">
        <v>15570</v>
      </c>
      <c r="H41" s="19">
        <v>17530</v>
      </c>
      <c r="I41" s="19">
        <v>19490</v>
      </c>
      <c r="J41" s="20">
        <v>1960</v>
      </c>
    </row>
    <row r="42" spans="1:10" x14ac:dyDescent="0.2">
      <c r="A42" s="18">
        <v>1987</v>
      </c>
      <c r="B42" s="19">
        <v>5500</v>
      </c>
      <c r="C42" s="19">
        <v>7400</v>
      </c>
      <c r="D42" s="19">
        <v>9300</v>
      </c>
      <c r="E42" s="19">
        <v>11200</v>
      </c>
      <c r="F42" s="19">
        <v>13100</v>
      </c>
      <c r="G42" s="19">
        <v>15000</v>
      </c>
      <c r="H42" s="19">
        <v>16900</v>
      </c>
      <c r="I42" s="19">
        <v>18800</v>
      </c>
      <c r="J42" s="20">
        <v>1900</v>
      </c>
    </row>
    <row r="43" spans="1:10" x14ac:dyDescent="0.2">
      <c r="A43" s="18">
        <v>1986</v>
      </c>
      <c r="B43" s="19">
        <v>5360</v>
      </c>
      <c r="C43" s="19">
        <v>7240</v>
      </c>
      <c r="D43" s="19">
        <v>9120</v>
      </c>
      <c r="E43" s="19">
        <v>11000</v>
      </c>
      <c r="F43" s="19">
        <v>12880</v>
      </c>
      <c r="G43" s="19">
        <v>14760</v>
      </c>
      <c r="H43" s="19">
        <v>16640</v>
      </c>
      <c r="I43" s="19">
        <v>18520</v>
      </c>
      <c r="J43" s="20">
        <v>1880</v>
      </c>
    </row>
    <row r="44" spans="1:10" x14ac:dyDescent="0.2">
      <c r="A44" s="18">
        <v>1985</v>
      </c>
      <c r="B44" s="19">
        <v>5250</v>
      </c>
      <c r="C44" s="19">
        <v>7050</v>
      </c>
      <c r="D44" s="19">
        <v>8850</v>
      </c>
      <c r="E44" s="19">
        <v>10650</v>
      </c>
      <c r="F44" s="19">
        <v>12450</v>
      </c>
      <c r="G44" s="19">
        <v>14250</v>
      </c>
      <c r="H44" s="19">
        <v>16050</v>
      </c>
      <c r="I44" s="19">
        <v>17850</v>
      </c>
      <c r="J44" s="20">
        <v>1800</v>
      </c>
    </row>
    <row r="45" spans="1:10" x14ac:dyDescent="0.2">
      <c r="A45" s="18">
        <v>1984</v>
      </c>
      <c r="B45" s="19">
        <v>4980</v>
      </c>
      <c r="C45" s="19">
        <v>6720</v>
      </c>
      <c r="D45" s="19">
        <v>8460</v>
      </c>
      <c r="E45" s="19">
        <v>10200</v>
      </c>
      <c r="F45" s="19">
        <v>11940</v>
      </c>
      <c r="G45" s="19">
        <v>13680</v>
      </c>
      <c r="H45" s="19">
        <v>15420</v>
      </c>
      <c r="I45" s="19">
        <v>17160</v>
      </c>
      <c r="J45" s="20">
        <v>1740</v>
      </c>
    </row>
    <row r="46" spans="1:10" x14ac:dyDescent="0.2">
      <c r="A46" s="18">
        <v>1983</v>
      </c>
      <c r="B46" s="19">
        <v>4860</v>
      </c>
      <c r="C46" s="19">
        <v>6540</v>
      </c>
      <c r="D46" s="19">
        <v>8220</v>
      </c>
      <c r="E46" s="19">
        <v>9900</v>
      </c>
      <c r="F46" s="19">
        <v>11580</v>
      </c>
      <c r="G46" s="19">
        <v>13260</v>
      </c>
      <c r="H46" s="19">
        <v>14940</v>
      </c>
      <c r="I46" s="19">
        <v>16620</v>
      </c>
      <c r="J46" s="20">
        <v>1680</v>
      </c>
    </row>
    <row r="50" spans="1:1" x14ac:dyDescent="0.2">
      <c r="A50" s="22" t="s">
        <v>49</v>
      </c>
    </row>
    <row r="51" spans="1:1" x14ac:dyDescent="0.2">
      <c r="A51" s="23"/>
    </row>
  </sheetData>
  <mergeCells count="1">
    <mergeCell ref="A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9EDB8-8007-4BE5-BA00-A87D6E61519A}">
  <dimension ref="B1:H25"/>
  <sheetViews>
    <sheetView workbookViewId="0">
      <selection activeCell="K23" sqref="K23"/>
    </sheetView>
  </sheetViews>
  <sheetFormatPr defaultRowHeight="15" x14ac:dyDescent="0.25"/>
  <cols>
    <col min="2" max="2" width="14.5703125" bestFit="1" customWidth="1"/>
    <col min="3" max="3" width="26.7109375" bestFit="1" customWidth="1"/>
    <col min="4" max="4" width="14.5703125" customWidth="1"/>
    <col min="5" max="5" width="21.85546875" bestFit="1" customWidth="1"/>
    <col min="6" max="6" width="15.42578125" bestFit="1" customWidth="1"/>
  </cols>
  <sheetData>
    <row r="1" spans="2:8" x14ac:dyDescent="0.25">
      <c r="B1" t="s">
        <v>50</v>
      </c>
      <c r="E1" t="s">
        <v>51</v>
      </c>
      <c r="F1" s="3">
        <v>2</v>
      </c>
      <c r="H1" t="s">
        <v>39</v>
      </c>
    </row>
    <row r="2" spans="2:8" x14ac:dyDescent="0.25">
      <c r="B2" s="3" t="s">
        <v>0</v>
      </c>
      <c r="C2" s="3" t="s">
        <v>52</v>
      </c>
      <c r="D2" s="3" t="s">
        <v>53</v>
      </c>
      <c r="E2" s="3" t="s">
        <v>54</v>
      </c>
      <c r="F2" s="3" t="s">
        <v>53</v>
      </c>
    </row>
    <row r="3" spans="2:8" x14ac:dyDescent="0.25">
      <c r="B3" s="3">
        <v>2003</v>
      </c>
      <c r="C3" s="24">
        <f>+'Historical Poverty Guide'!$C$26</f>
        <v>12120</v>
      </c>
      <c r="D3" s="14">
        <f>+C3/12</f>
        <v>1010</v>
      </c>
      <c r="E3" s="14">
        <f>+'Historical Poverty Guide'!$C$26*150%</f>
        <v>18180</v>
      </c>
      <c r="F3" s="14">
        <f>+E3/12</f>
        <v>1515</v>
      </c>
    </row>
    <row r="4" spans="2:8" x14ac:dyDescent="0.25">
      <c r="B4" s="3">
        <v>2004</v>
      </c>
      <c r="C4" s="24">
        <f>+'Historical Poverty Guide'!$C$25</f>
        <v>12490</v>
      </c>
      <c r="D4" s="14">
        <f t="shared" ref="D4:F25" si="0">+C4/12</f>
        <v>1040.8333333333333</v>
      </c>
      <c r="E4" s="14">
        <f>+'Historical Poverty Guide'!C25*150%</f>
        <v>18735</v>
      </c>
      <c r="F4" s="14">
        <f t="shared" si="0"/>
        <v>1561.25</v>
      </c>
    </row>
    <row r="5" spans="2:8" x14ac:dyDescent="0.25">
      <c r="B5" s="3">
        <v>2005</v>
      </c>
      <c r="C5" s="24">
        <f>+'Historical Poverty Guide'!$C$24</f>
        <v>12830</v>
      </c>
      <c r="D5" s="14">
        <f t="shared" si="0"/>
        <v>1069.1666666666667</v>
      </c>
      <c r="E5" s="14">
        <f>+'Historical Poverty Guide'!C24*150%</f>
        <v>19245</v>
      </c>
      <c r="F5" s="14">
        <f t="shared" si="0"/>
        <v>1603.75</v>
      </c>
    </row>
    <row r="6" spans="2:8" x14ac:dyDescent="0.25">
      <c r="B6" s="3">
        <v>2006</v>
      </c>
      <c r="C6" s="24">
        <f>+'Historical Poverty Guide'!$C$23</f>
        <v>13200</v>
      </c>
      <c r="D6" s="14">
        <f t="shared" si="0"/>
        <v>1100</v>
      </c>
      <c r="E6" s="14">
        <f>+'Historical Poverty Guide'!C23*150%</f>
        <v>19800</v>
      </c>
      <c r="F6" s="14">
        <f t="shared" si="0"/>
        <v>1650</v>
      </c>
    </row>
    <row r="7" spans="2:8" x14ac:dyDescent="0.25">
      <c r="B7" s="3">
        <v>2007</v>
      </c>
      <c r="C7" s="24">
        <f>+'Historical Poverty Guide'!$C$22</f>
        <v>13690</v>
      </c>
      <c r="D7" s="14">
        <f t="shared" si="0"/>
        <v>1140.8333333333333</v>
      </c>
      <c r="E7" s="14">
        <f>+'Historical Poverty Guide'!C22*150%</f>
        <v>20535</v>
      </c>
      <c r="F7" s="14">
        <f t="shared" si="0"/>
        <v>1711.25</v>
      </c>
    </row>
    <row r="8" spans="2:8" x14ac:dyDescent="0.25">
      <c r="B8" s="3">
        <v>2008</v>
      </c>
      <c r="C8" s="24">
        <f>+'Historical Poverty Guide'!$C$21</f>
        <v>14000</v>
      </c>
      <c r="D8" s="14">
        <f t="shared" si="0"/>
        <v>1166.6666666666667</v>
      </c>
      <c r="E8" s="14">
        <f>+'Historical Poverty Guide'!C21*150%</f>
        <v>21000</v>
      </c>
      <c r="F8" s="14">
        <f t="shared" si="0"/>
        <v>1750</v>
      </c>
    </row>
    <row r="9" spans="2:8" x14ac:dyDescent="0.25">
      <c r="B9" s="3">
        <v>2009</v>
      </c>
      <c r="C9" s="24">
        <f>+'Historical Poverty Guide'!$C$20</f>
        <v>14570</v>
      </c>
      <c r="D9" s="14">
        <f t="shared" si="0"/>
        <v>1214.1666666666667</v>
      </c>
      <c r="E9" s="14">
        <f>+'Historical Poverty Guide'!C20*150%</f>
        <v>21855</v>
      </c>
      <c r="F9" s="14">
        <f t="shared" si="0"/>
        <v>1821.25</v>
      </c>
    </row>
    <row r="10" spans="2:8" x14ac:dyDescent="0.25">
      <c r="B10" s="3">
        <v>2010</v>
      </c>
      <c r="C10" s="24">
        <f>+'Historical Poverty Guide'!$C$19</f>
        <v>14570</v>
      </c>
      <c r="D10" s="14">
        <f t="shared" si="0"/>
        <v>1214.1666666666667</v>
      </c>
      <c r="E10" s="14">
        <f>+'Historical Poverty Guide'!C19*150%</f>
        <v>21855</v>
      </c>
      <c r="F10" s="14">
        <f t="shared" si="0"/>
        <v>1821.25</v>
      </c>
    </row>
    <row r="11" spans="2:8" x14ac:dyDescent="0.25">
      <c r="B11" s="3">
        <v>2011</v>
      </c>
      <c r="C11" s="24">
        <f>+'Historical Poverty Guide'!$C$18</f>
        <v>14710</v>
      </c>
      <c r="D11" s="14">
        <f t="shared" si="0"/>
        <v>1225.8333333333333</v>
      </c>
      <c r="E11" s="14">
        <f>+'Historical Poverty Guide'!C18*150%</f>
        <v>22065</v>
      </c>
      <c r="F11" s="14">
        <f t="shared" si="0"/>
        <v>1838.75</v>
      </c>
    </row>
    <row r="12" spans="2:8" x14ac:dyDescent="0.25">
      <c r="B12" s="3">
        <v>2012</v>
      </c>
      <c r="C12" s="24">
        <f>+'Historical Poverty Guide'!$C$17</f>
        <v>15130</v>
      </c>
      <c r="D12" s="14">
        <f t="shared" si="0"/>
        <v>1260.8333333333333</v>
      </c>
      <c r="E12" s="14">
        <f>+'Historical Poverty Guide'!C17*150%</f>
        <v>22695</v>
      </c>
      <c r="F12" s="14">
        <f t="shared" si="0"/>
        <v>1891.25</v>
      </c>
    </row>
    <row r="13" spans="2:8" x14ac:dyDescent="0.25">
      <c r="B13" s="3">
        <v>2013</v>
      </c>
      <c r="C13" s="24">
        <f>+'Historical Poverty Guide'!$C$16</f>
        <v>15510</v>
      </c>
      <c r="D13" s="14">
        <f t="shared" si="0"/>
        <v>1292.5</v>
      </c>
      <c r="E13" s="14">
        <f>+'Historical Poverty Guide'!C16*150%</f>
        <v>23265</v>
      </c>
      <c r="F13" s="14">
        <f t="shared" si="0"/>
        <v>1938.75</v>
      </c>
    </row>
    <row r="14" spans="2:8" x14ac:dyDescent="0.25">
      <c r="B14" s="3">
        <v>2014</v>
      </c>
      <c r="C14" s="24">
        <f>+'Historical Poverty Guide'!$C$15</f>
        <v>15730</v>
      </c>
      <c r="D14" s="14">
        <f t="shared" si="0"/>
        <v>1310.8333333333333</v>
      </c>
      <c r="E14" s="14">
        <f>+'Historical Poverty Guide'!C15*150%</f>
        <v>23595</v>
      </c>
      <c r="F14" s="14">
        <f t="shared" si="0"/>
        <v>1966.25</v>
      </c>
    </row>
    <row r="15" spans="2:8" x14ac:dyDescent="0.25">
      <c r="B15" s="3">
        <v>2015</v>
      </c>
      <c r="C15" s="24">
        <f>+'Historical Poverty Guide'!$C$14</f>
        <v>15930</v>
      </c>
      <c r="D15" s="14">
        <f t="shared" si="0"/>
        <v>1327.5</v>
      </c>
      <c r="E15" s="14">
        <f>+'Historical Poverty Guide'!C14*150%</f>
        <v>23895</v>
      </c>
      <c r="F15" s="14">
        <f t="shared" si="0"/>
        <v>1991.25</v>
      </c>
    </row>
    <row r="16" spans="2:8" x14ac:dyDescent="0.25">
      <c r="B16" s="3">
        <v>2016</v>
      </c>
      <c r="C16" s="24">
        <f>+'Historical Poverty Guide'!$C$13</f>
        <v>16020</v>
      </c>
      <c r="D16" s="14">
        <f t="shared" si="0"/>
        <v>1335</v>
      </c>
      <c r="E16" s="14">
        <f>+'Historical Poverty Guide'!C13*150%</f>
        <v>24030</v>
      </c>
      <c r="F16" s="14">
        <f t="shared" si="0"/>
        <v>2002.5</v>
      </c>
    </row>
    <row r="17" spans="2:6" x14ac:dyDescent="0.25">
      <c r="B17" s="3">
        <v>2017</v>
      </c>
      <c r="C17" s="24">
        <f>+'Historical Poverty Guide'!$C$12</f>
        <v>16240</v>
      </c>
      <c r="D17" s="14">
        <f t="shared" si="0"/>
        <v>1353.3333333333333</v>
      </c>
      <c r="E17" s="14">
        <f>+'Historical Poverty Guide'!C12*150%</f>
        <v>24360</v>
      </c>
      <c r="F17" s="14">
        <f t="shared" si="0"/>
        <v>2030</v>
      </c>
    </row>
    <row r="18" spans="2:6" x14ac:dyDescent="0.25">
      <c r="B18" s="3">
        <v>2018</v>
      </c>
      <c r="C18" s="24">
        <f>+'Historical Poverty Guide'!$C$11</f>
        <v>16460</v>
      </c>
      <c r="D18" s="14">
        <f t="shared" si="0"/>
        <v>1371.6666666666667</v>
      </c>
      <c r="E18" s="14">
        <f>+'Historical Poverty Guide'!C11*150%</f>
        <v>24690</v>
      </c>
      <c r="F18" s="14">
        <f t="shared" si="0"/>
        <v>2057.5</v>
      </c>
    </row>
    <row r="19" spans="2:6" x14ac:dyDescent="0.25">
      <c r="B19" s="3">
        <v>2019</v>
      </c>
      <c r="C19" s="24">
        <f>+'Historical Poverty Guide'!$C$10</f>
        <v>16910</v>
      </c>
      <c r="D19" s="14">
        <f t="shared" si="0"/>
        <v>1409.1666666666667</v>
      </c>
      <c r="E19" s="14">
        <f>+'Historical Poverty Guide'!C10*150%</f>
        <v>25365</v>
      </c>
      <c r="F19" s="14">
        <f t="shared" si="0"/>
        <v>2113.75</v>
      </c>
    </row>
    <row r="20" spans="2:6" x14ac:dyDescent="0.25">
      <c r="B20" s="3">
        <v>2020</v>
      </c>
      <c r="C20" s="24">
        <f>+'Historical Poverty Guide'!$C$9</f>
        <v>17240</v>
      </c>
      <c r="D20" s="14">
        <f t="shared" si="0"/>
        <v>1436.6666666666667</v>
      </c>
      <c r="E20" s="14">
        <f>+'Historical Poverty Guide'!C9*150%</f>
        <v>25860</v>
      </c>
      <c r="F20" s="14">
        <f t="shared" si="0"/>
        <v>2155</v>
      </c>
    </row>
    <row r="21" spans="2:6" x14ac:dyDescent="0.25">
      <c r="B21" s="3">
        <v>2021</v>
      </c>
      <c r="C21" s="24">
        <f>+'Historical Poverty Guide'!$C$8</f>
        <v>17420</v>
      </c>
      <c r="D21" s="14">
        <f t="shared" si="0"/>
        <v>1451.6666666666667</v>
      </c>
      <c r="E21" s="14">
        <f>+'Historical Poverty Guide'!C8*150%</f>
        <v>26130</v>
      </c>
      <c r="F21" s="14">
        <f t="shared" si="0"/>
        <v>2177.5</v>
      </c>
    </row>
    <row r="22" spans="2:6" x14ac:dyDescent="0.25">
      <c r="B22" s="3">
        <v>2022</v>
      </c>
      <c r="C22" s="24">
        <f>+'Historical Poverty Guide'!$C$7</f>
        <v>18310</v>
      </c>
      <c r="D22" s="14">
        <f t="shared" si="0"/>
        <v>1525.8333333333333</v>
      </c>
      <c r="E22" s="14">
        <f>+'Historical Poverty Guide'!C7*150%</f>
        <v>27465</v>
      </c>
      <c r="F22" s="14">
        <f t="shared" si="0"/>
        <v>2288.75</v>
      </c>
    </row>
    <row r="23" spans="2:6" x14ac:dyDescent="0.25">
      <c r="B23" s="3">
        <v>2023</v>
      </c>
      <c r="C23" s="24">
        <f>+'Historical Poverty Guide'!$C$6</f>
        <v>19720</v>
      </c>
      <c r="D23" s="14">
        <f t="shared" si="0"/>
        <v>1643.3333333333333</v>
      </c>
      <c r="E23" s="14">
        <f>+'Historical Poverty Guide'!C6*150%</f>
        <v>29580</v>
      </c>
      <c r="F23" s="14">
        <f t="shared" si="0"/>
        <v>2465</v>
      </c>
    </row>
    <row r="24" spans="2:6" x14ac:dyDescent="0.25">
      <c r="B24" s="3">
        <v>2024</v>
      </c>
      <c r="C24" s="24">
        <f>+'Historical Poverty Guide'!$C$5</f>
        <v>20440</v>
      </c>
      <c r="D24" s="14">
        <f t="shared" si="0"/>
        <v>1703.3333333333333</v>
      </c>
      <c r="E24" s="14">
        <f>+'Historical Poverty Guide'!C5*150%</f>
        <v>30660</v>
      </c>
      <c r="F24" s="14">
        <f t="shared" si="0"/>
        <v>2555</v>
      </c>
    </row>
    <row r="25" spans="2:6" x14ac:dyDescent="0.25">
      <c r="B25" s="3">
        <v>2025</v>
      </c>
      <c r="C25" s="24">
        <f>+C24*(1.03)</f>
        <v>21053.200000000001</v>
      </c>
      <c r="D25" s="14">
        <f t="shared" si="0"/>
        <v>1754.4333333333334</v>
      </c>
      <c r="E25" s="24">
        <f>+E24*(1.03)</f>
        <v>31579.8</v>
      </c>
      <c r="F25" s="14">
        <f t="shared" si="0"/>
        <v>2631.65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8E0C8-14A8-4936-BFAF-2E4B279DFF4A}">
  <dimension ref="B2:G25"/>
  <sheetViews>
    <sheetView workbookViewId="0">
      <selection activeCell="E30" sqref="E30"/>
    </sheetView>
  </sheetViews>
  <sheetFormatPr defaultRowHeight="15" x14ac:dyDescent="0.25"/>
  <cols>
    <col min="2" max="2" width="9.140625" style="3"/>
    <col min="3" max="3" width="11.28515625" style="3" bestFit="1" customWidth="1"/>
    <col min="4" max="4" width="31.7109375" style="3" bestFit="1" customWidth="1"/>
    <col min="5" max="5" width="34.5703125" style="3" bestFit="1" customWidth="1"/>
  </cols>
  <sheetData>
    <row r="2" spans="2:5" x14ac:dyDescent="0.25">
      <c r="B2" s="1" t="s">
        <v>0</v>
      </c>
      <c r="C2" s="1" t="s">
        <v>36</v>
      </c>
      <c r="D2" s="1" t="s">
        <v>35</v>
      </c>
      <c r="E2" s="1" t="s">
        <v>55</v>
      </c>
    </row>
    <row r="3" spans="2:5" x14ac:dyDescent="0.25">
      <c r="B3" s="3">
        <v>2003</v>
      </c>
      <c r="C3" s="4">
        <f>+'Residential Rates'!P3</f>
        <v>94.143587390000008</v>
      </c>
      <c r="D3" s="6">
        <f t="shared" ref="D3:D25" si="0">+C3/E3</f>
        <v>6.2140981775577565E-2</v>
      </c>
      <c r="E3" s="4">
        <f>+'Federal Poverty'!F3</f>
        <v>1515</v>
      </c>
    </row>
    <row r="4" spans="2:5" x14ac:dyDescent="0.25">
      <c r="B4" s="3">
        <v>2004</v>
      </c>
      <c r="C4" s="4">
        <f>+'Residential Rates'!P4</f>
        <v>98.666664199999985</v>
      </c>
      <c r="D4" s="6">
        <f t="shared" si="0"/>
        <v>6.3197222866293021E-2</v>
      </c>
      <c r="E4" s="4">
        <f>+'Federal Poverty'!F4</f>
        <v>1561.25</v>
      </c>
    </row>
    <row r="5" spans="2:5" x14ac:dyDescent="0.25">
      <c r="B5" s="3">
        <v>2005</v>
      </c>
      <c r="C5" s="4">
        <f>+'Residential Rates'!P5</f>
        <v>98.071792420000008</v>
      </c>
      <c r="D5" s="6">
        <f t="shared" si="0"/>
        <v>6.1151546325798917E-2</v>
      </c>
      <c r="E5" s="4">
        <f>+'Federal Poverty'!F5</f>
        <v>1603.75</v>
      </c>
    </row>
    <row r="6" spans="2:5" x14ac:dyDescent="0.25">
      <c r="B6" s="3">
        <v>2006</v>
      </c>
      <c r="C6" s="4">
        <f>+'Residential Rates'!P6</f>
        <v>109.61025366999999</v>
      </c>
      <c r="D6" s="6">
        <f t="shared" si="0"/>
        <v>6.6430456769696958E-2</v>
      </c>
      <c r="E6" s="4">
        <f>+'Federal Poverty'!F6</f>
        <v>1650</v>
      </c>
    </row>
    <row r="7" spans="2:5" x14ac:dyDescent="0.25">
      <c r="B7" s="3">
        <v>2007</v>
      </c>
      <c r="C7" s="4">
        <f>+'Residential Rates'!P7</f>
        <v>114.54358688000002</v>
      </c>
      <c r="D7" s="6">
        <f t="shared" si="0"/>
        <v>6.6935624181154132E-2</v>
      </c>
      <c r="E7" s="4">
        <f>+'Federal Poverty'!F7</f>
        <v>1711.25</v>
      </c>
    </row>
    <row r="8" spans="2:5" x14ac:dyDescent="0.25">
      <c r="B8" s="3">
        <v>2008</v>
      </c>
      <c r="C8" s="4">
        <f>+'Residential Rates'!P8</f>
        <v>114.37948432</v>
      </c>
      <c r="D8" s="6">
        <f t="shared" si="0"/>
        <v>6.5359705325714293E-2</v>
      </c>
      <c r="E8" s="4">
        <f>+'Federal Poverty'!F8</f>
        <v>1750</v>
      </c>
    </row>
    <row r="9" spans="2:5" x14ac:dyDescent="0.25">
      <c r="B9" s="3">
        <v>2009</v>
      </c>
      <c r="C9" s="4">
        <f>+'Residential Rates'!P9</f>
        <v>113.34358691000001</v>
      </c>
      <c r="D9" s="6">
        <f t="shared" si="0"/>
        <v>6.2233953004804402E-2</v>
      </c>
      <c r="E9" s="4">
        <f>+'Federal Poverty'!F9</f>
        <v>1821.25</v>
      </c>
    </row>
    <row r="10" spans="2:5" x14ac:dyDescent="0.25">
      <c r="B10" s="3">
        <v>2010</v>
      </c>
      <c r="C10" s="4">
        <f>+'Residential Rates'!P10</f>
        <v>112.72820231</v>
      </c>
      <c r="D10" s="6">
        <f t="shared" si="0"/>
        <v>6.1896061666437886E-2</v>
      </c>
      <c r="E10" s="4">
        <f>+'Federal Poverty'!F10</f>
        <v>1821.25</v>
      </c>
    </row>
    <row r="11" spans="2:5" x14ac:dyDescent="0.25">
      <c r="B11" s="3">
        <v>2011</v>
      </c>
      <c r="C11" s="4">
        <f>+'Residential Rates'!P11</f>
        <v>107.01538194000001</v>
      </c>
      <c r="D11" s="6">
        <f t="shared" si="0"/>
        <v>5.8200071755268534E-2</v>
      </c>
      <c r="E11" s="4">
        <f>+'Federal Poverty'!F11</f>
        <v>1838.75</v>
      </c>
    </row>
    <row r="12" spans="2:5" x14ac:dyDescent="0.25">
      <c r="B12" s="3">
        <v>2012</v>
      </c>
      <c r="C12" s="4">
        <f>+'Residential Rates'!P12</f>
        <v>106.89230501999999</v>
      </c>
      <c r="D12" s="6">
        <f t="shared" si="0"/>
        <v>5.6519394590879048E-2</v>
      </c>
      <c r="E12" s="4">
        <f>+'Federal Poverty'!F12</f>
        <v>1891.25</v>
      </c>
    </row>
    <row r="13" spans="2:5" x14ac:dyDescent="0.25">
      <c r="B13" s="3">
        <v>2013</v>
      </c>
      <c r="C13" s="4">
        <f>+'Residential Rates'!P13</f>
        <v>108.25640754999999</v>
      </c>
      <c r="D13" s="6">
        <f t="shared" si="0"/>
        <v>5.5838250186976142E-2</v>
      </c>
      <c r="E13" s="4">
        <f>+'Federal Poverty'!F13</f>
        <v>1938.75</v>
      </c>
    </row>
    <row r="14" spans="2:5" x14ac:dyDescent="0.25">
      <c r="B14" s="3">
        <v>2014</v>
      </c>
      <c r="C14" s="4">
        <f>+'Residential Rates'!P14</f>
        <v>110.14358699</v>
      </c>
      <c r="D14" s="6">
        <f t="shared" si="0"/>
        <v>5.6017081749523204E-2</v>
      </c>
      <c r="E14" s="4">
        <f>+'Federal Poverty'!F14</f>
        <v>1966.25</v>
      </c>
    </row>
    <row r="15" spans="2:5" x14ac:dyDescent="0.25">
      <c r="B15" s="3">
        <v>2015</v>
      </c>
      <c r="C15" s="4">
        <f>+'Residential Rates'!P15</f>
        <v>108.92307419999999</v>
      </c>
      <c r="D15" s="6">
        <f t="shared" si="0"/>
        <v>5.4700853333333327E-2</v>
      </c>
      <c r="E15" s="4">
        <f>+'Federal Poverty'!F15</f>
        <v>1991.25</v>
      </c>
    </row>
    <row r="16" spans="2:5" x14ac:dyDescent="0.25">
      <c r="B16" s="3">
        <v>2016</v>
      </c>
      <c r="C16" s="4">
        <f>+'Residential Rates'!P16</f>
        <v>106.21538196000002</v>
      </c>
      <c r="D16" s="6">
        <f t="shared" si="0"/>
        <v>5.3041389243445702E-2</v>
      </c>
      <c r="E16" s="4">
        <f>+'Federal Poverty'!F16</f>
        <v>2002.5</v>
      </c>
    </row>
    <row r="17" spans="2:7" x14ac:dyDescent="0.25">
      <c r="B17" s="3">
        <v>2017</v>
      </c>
      <c r="C17" s="4">
        <f>+'Residential Rates'!P17</f>
        <v>104.67692045999999</v>
      </c>
      <c r="D17" s="6">
        <f t="shared" si="0"/>
        <v>5.1564985448275855E-2</v>
      </c>
      <c r="E17" s="4">
        <f>+'Federal Poverty'!F17</f>
        <v>2030</v>
      </c>
    </row>
    <row r="18" spans="2:7" x14ac:dyDescent="0.25">
      <c r="B18" s="3">
        <v>2018</v>
      </c>
      <c r="C18" s="4">
        <f>+'Residential Rates'!P18</f>
        <v>107.85640755999999</v>
      </c>
      <c r="D18" s="6">
        <f t="shared" si="0"/>
        <v>5.2421097234507892E-2</v>
      </c>
      <c r="E18" s="4">
        <f>+'Federal Poverty'!F18</f>
        <v>2057.5</v>
      </c>
    </row>
    <row r="19" spans="2:7" x14ac:dyDescent="0.25">
      <c r="B19" s="3">
        <v>2019</v>
      </c>
      <c r="C19" s="4">
        <f>+'Residential Rates'!P19</f>
        <v>99.528202639999989</v>
      </c>
      <c r="D19" s="6">
        <f t="shared" si="0"/>
        <v>4.7086080492016555E-2</v>
      </c>
      <c r="E19" s="4">
        <f>+'Federal Poverty'!F19</f>
        <v>2113.75</v>
      </c>
    </row>
    <row r="20" spans="2:7" x14ac:dyDescent="0.25">
      <c r="B20" s="3">
        <v>2020</v>
      </c>
      <c r="C20" s="4">
        <f>+'Residential Rates'!P20</f>
        <v>102.19486923999999</v>
      </c>
      <c r="D20" s="6">
        <f t="shared" si="0"/>
        <v>4.7422213104408348E-2</v>
      </c>
      <c r="E20" s="4">
        <f>+'Federal Poverty'!F20</f>
        <v>2155</v>
      </c>
    </row>
    <row r="21" spans="2:7" x14ac:dyDescent="0.25">
      <c r="B21" s="3">
        <v>2021</v>
      </c>
      <c r="C21" s="4">
        <f>+'Residential Rates'!P21</f>
        <v>118.07179192</v>
      </c>
      <c r="D21" s="6">
        <f t="shared" si="0"/>
        <v>5.422355541676234E-2</v>
      </c>
      <c r="E21" s="4">
        <f>+'Federal Poverty'!F21</f>
        <v>2177.5</v>
      </c>
    </row>
    <row r="22" spans="2:7" x14ac:dyDescent="0.25">
      <c r="B22" s="3">
        <v>2022</v>
      </c>
      <c r="C22" s="4">
        <f>+'Residential Rates'!P22</f>
        <v>132.17435567000001</v>
      </c>
      <c r="D22" s="6">
        <f t="shared" si="0"/>
        <v>5.7749581942108143E-2</v>
      </c>
      <c r="E22" s="4">
        <f>+'Federal Poverty'!F22</f>
        <v>2288.75</v>
      </c>
    </row>
    <row r="23" spans="2:7" x14ac:dyDescent="0.25">
      <c r="B23" s="3">
        <v>2023</v>
      </c>
      <c r="C23" s="4">
        <f>+'Residential Rates'!P23</f>
        <v>161.12820110000004</v>
      </c>
      <c r="D23" s="6">
        <f t="shared" si="0"/>
        <v>6.5366410182555804E-2</v>
      </c>
      <c r="E23" s="4">
        <f>+'Federal Poverty'!F23</f>
        <v>2465</v>
      </c>
    </row>
    <row r="24" spans="2:7" x14ac:dyDescent="0.25">
      <c r="B24" s="3">
        <v>2024</v>
      </c>
      <c r="C24" s="4">
        <f>+'Residential Rates'!P24</f>
        <v>136.44102223000002</v>
      </c>
      <c r="D24" s="6">
        <f t="shared" si="0"/>
        <v>5.3401574258317035E-2</v>
      </c>
      <c r="E24" s="4">
        <f>+'Federal Poverty'!F24</f>
        <v>2555</v>
      </c>
    </row>
    <row r="25" spans="2:7" x14ac:dyDescent="0.25">
      <c r="B25" s="3">
        <v>2025</v>
      </c>
      <c r="C25" s="4">
        <f>+'Residential Rates'!P25</f>
        <v>151.44096503151363</v>
      </c>
      <c r="D25" s="6">
        <f t="shared" si="0"/>
        <v>5.7546012969624999E-2</v>
      </c>
      <c r="E25" s="4">
        <f>+'Federal Poverty'!F25</f>
        <v>2631.65</v>
      </c>
      <c r="F25" s="25"/>
      <c r="G25" s="25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E7570-2DCB-48FE-A11C-571070A7E5FA}">
  <dimension ref="B2:G25"/>
  <sheetViews>
    <sheetView workbookViewId="0">
      <selection activeCell="E42" sqref="E42"/>
    </sheetView>
  </sheetViews>
  <sheetFormatPr defaultRowHeight="15" x14ac:dyDescent="0.25"/>
  <cols>
    <col min="2" max="2" width="9.140625" style="3"/>
    <col min="3" max="3" width="11.28515625" style="3" bestFit="1" customWidth="1"/>
    <col min="4" max="4" width="30.5703125" style="3" bestFit="1" customWidth="1"/>
    <col min="5" max="5" width="45.140625" style="3" bestFit="1" customWidth="1"/>
  </cols>
  <sheetData>
    <row r="2" spans="2:5" x14ac:dyDescent="0.25">
      <c r="B2" s="1" t="s">
        <v>0</v>
      </c>
      <c r="C2" s="1" t="s">
        <v>36</v>
      </c>
      <c r="D2" s="1" t="s">
        <v>35</v>
      </c>
      <c r="E2" s="1" t="s">
        <v>56</v>
      </c>
    </row>
    <row r="3" spans="2:5" x14ac:dyDescent="0.25">
      <c r="B3" s="3">
        <v>2003</v>
      </c>
      <c r="C3" s="4">
        <f>+'Residential Rates'!P3</f>
        <v>94.143587390000008</v>
      </c>
      <c r="D3" s="6">
        <f t="shared" ref="D3:D25" si="0">+C3/E3</f>
        <v>2.6088191591538891E-2</v>
      </c>
      <c r="E3" s="4">
        <f>+'HC Median Houshold Income'!E3</f>
        <v>3608.6666666666665</v>
      </c>
    </row>
    <row r="4" spans="2:5" x14ac:dyDescent="0.25">
      <c r="B4" s="3">
        <v>2004</v>
      </c>
      <c r="C4" s="4">
        <f>+'Residential Rates'!P4</f>
        <v>98.666664199999985</v>
      </c>
      <c r="D4" s="6">
        <f t="shared" si="0"/>
        <v>2.6399107478260866E-2</v>
      </c>
      <c r="E4" s="4">
        <f>+'HC Median Houshold Income'!E4</f>
        <v>3737.5</v>
      </c>
    </row>
    <row r="5" spans="2:5" x14ac:dyDescent="0.25">
      <c r="B5" s="3">
        <v>2005</v>
      </c>
      <c r="C5" s="4">
        <f>+'Residential Rates'!P5</f>
        <v>98.071792420000008</v>
      </c>
      <c r="D5" s="6">
        <f t="shared" si="0"/>
        <v>2.610375097684323E-2</v>
      </c>
      <c r="E5" s="4">
        <f>+'HC Median Houshold Income'!E5</f>
        <v>3757</v>
      </c>
    </row>
    <row r="6" spans="2:5" x14ac:dyDescent="0.25">
      <c r="B6" s="3">
        <v>2006</v>
      </c>
      <c r="C6" s="4">
        <f>+'Residential Rates'!P6</f>
        <v>109.61025366999999</v>
      </c>
      <c r="D6" s="6">
        <f t="shared" si="0"/>
        <v>2.8134650468225279E-2</v>
      </c>
      <c r="E6" s="4">
        <f>+'HC Median Houshold Income'!E6</f>
        <v>3895.9166666666665</v>
      </c>
    </row>
    <row r="7" spans="2:5" x14ac:dyDescent="0.25">
      <c r="B7" s="3">
        <v>2007</v>
      </c>
      <c r="C7" s="4">
        <f>+'Residential Rates'!P7</f>
        <v>114.54358688000002</v>
      </c>
      <c r="D7" s="6">
        <f t="shared" si="0"/>
        <v>2.7226365109636531E-2</v>
      </c>
      <c r="E7" s="4">
        <f>+'HC Median Houshold Income'!E7</f>
        <v>4207.083333333333</v>
      </c>
    </row>
    <row r="8" spans="2:5" x14ac:dyDescent="0.25">
      <c r="B8" s="3">
        <v>2008</v>
      </c>
      <c r="C8" s="4">
        <f>+'Residential Rates'!P8</f>
        <v>114.37948432</v>
      </c>
      <c r="D8" s="6">
        <f t="shared" si="0"/>
        <v>2.7582368309955391E-2</v>
      </c>
      <c r="E8" s="4">
        <f>+'HC Median Houshold Income'!E8</f>
        <v>4146.833333333333</v>
      </c>
    </row>
    <row r="9" spans="2:5" x14ac:dyDescent="0.25">
      <c r="B9" s="3">
        <v>2009</v>
      </c>
      <c r="C9" s="4">
        <f>+'Residential Rates'!P9</f>
        <v>113.34358691000001</v>
      </c>
      <c r="D9" s="6">
        <f t="shared" si="0"/>
        <v>2.8859577816630955E-2</v>
      </c>
      <c r="E9" s="4">
        <f>+'HC Median Houshold Income'!E9</f>
        <v>3927.4166666666665</v>
      </c>
    </row>
    <row r="10" spans="2:5" x14ac:dyDescent="0.25">
      <c r="B10" s="3">
        <v>2010</v>
      </c>
      <c r="C10" s="4">
        <f>+'Residential Rates'!P10</f>
        <v>112.72820231</v>
      </c>
      <c r="D10" s="6">
        <f t="shared" si="0"/>
        <v>2.9379893311035337E-2</v>
      </c>
      <c r="E10" s="4">
        <f>+'HC Median Houshold Income'!E10</f>
        <v>3836.9166666666665</v>
      </c>
    </row>
    <row r="11" spans="2:5" x14ac:dyDescent="0.25">
      <c r="B11" s="3">
        <v>2011</v>
      </c>
      <c r="C11" s="4">
        <f>+'Residential Rates'!P11</f>
        <v>107.01538194000001</v>
      </c>
      <c r="D11" s="6">
        <f t="shared" si="0"/>
        <v>2.7562340815590662E-2</v>
      </c>
      <c r="E11" s="4">
        <f>+'HC Median Houshold Income'!E11</f>
        <v>3882.6666666666665</v>
      </c>
    </row>
    <row r="12" spans="2:5" x14ac:dyDescent="0.25">
      <c r="B12" s="3">
        <v>2012</v>
      </c>
      <c r="C12" s="4">
        <f>+'Residential Rates'!P12</f>
        <v>106.89230501999999</v>
      </c>
      <c r="D12" s="6">
        <f t="shared" si="0"/>
        <v>2.7564955951347399E-2</v>
      </c>
      <c r="E12" s="4">
        <f>+'HC Median Houshold Income'!E12</f>
        <v>3877.8333333333335</v>
      </c>
    </row>
    <row r="13" spans="2:5" x14ac:dyDescent="0.25">
      <c r="B13" s="3">
        <v>2013</v>
      </c>
      <c r="C13" s="4">
        <f>+'Residential Rates'!P13</f>
        <v>108.25640754999999</v>
      </c>
      <c r="D13" s="6">
        <f t="shared" si="0"/>
        <v>2.6238676845081802E-2</v>
      </c>
      <c r="E13" s="4">
        <f>+'HC Median Houshold Income'!E13</f>
        <v>4125.833333333333</v>
      </c>
    </row>
    <row r="14" spans="2:5" x14ac:dyDescent="0.25">
      <c r="B14" s="3">
        <v>2014</v>
      </c>
      <c r="C14" s="4">
        <f>+'Residential Rates'!P14</f>
        <v>110.14358699</v>
      </c>
      <c r="D14" s="6">
        <f t="shared" si="0"/>
        <v>2.6039699040151309E-2</v>
      </c>
      <c r="E14" s="4">
        <f>+'HC Median Houshold Income'!E14</f>
        <v>4229.833333333333</v>
      </c>
    </row>
    <row r="15" spans="2:5" x14ac:dyDescent="0.25">
      <c r="B15" s="3">
        <v>2015</v>
      </c>
      <c r="C15" s="4">
        <f>+'Residential Rates'!P15</f>
        <v>108.92307419999999</v>
      </c>
      <c r="D15" s="6">
        <f t="shared" si="0"/>
        <v>2.5277062278089339E-2</v>
      </c>
      <c r="E15" s="4">
        <f>+'HC Median Houshold Income'!E15</f>
        <v>4309.166666666667</v>
      </c>
    </row>
    <row r="16" spans="2:5" x14ac:dyDescent="0.25">
      <c r="B16" s="3">
        <v>2016</v>
      </c>
      <c r="C16" s="4">
        <f>+'Residential Rates'!P16</f>
        <v>106.21538196000002</v>
      </c>
      <c r="D16" s="6">
        <f t="shared" si="0"/>
        <v>2.3383011677337688E-2</v>
      </c>
      <c r="E16" s="4">
        <f>+'HC Median Houshold Income'!E16</f>
        <v>4542.416666666667</v>
      </c>
    </row>
    <row r="17" spans="2:7" x14ac:dyDescent="0.25">
      <c r="B17" s="3">
        <v>2017</v>
      </c>
      <c r="C17" s="4">
        <f>+'Residential Rates'!P17</f>
        <v>104.67692045999999</v>
      </c>
      <c r="D17" s="6">
        <f t="shared" si="0"/>
        <v>2.2946658729654186E-2</v>
      </c>
      <c r="E17" s="4">
        <f>+'HC Median Houshold Income'!E17</f>
        <v>4561.75</v>
      </c>
    </row>
    <row r="18" spans="2:7" x14ac:dyDescent="0.25">
      <c r="B18" s="3">
        <v>2018</v>
      </c>
      <c r="C18" s="4">
        <f>+'Residential Rates'!P18</f>
        <v>107.85640755999999</v>
      </c>
      <c r="D18" s="6">
        <f t="shared" si="0"/>
        <v>2.2177085566045817E-2</v>
      </c>
      <c r="E18" s="4">
        <f>+'HC Median Houshold Income'!E18</f>
        <v>4863.416666666667</v>
      </c>
    </row>
    <row r="19" spans="2:7" x14ac:dyDescent="0.25">
      <c r="B19" s="3">
        <v>2019</v>
      </c>
      <c r="C19" s="4">
        <f>+'Residential Rates'!P19</f>
        <v>99.528202639999989</v>
      </c>
      <c r="D19" s="6">
        <f t="shared" si="0"/>
        <v>1.9536722092486868E-2</v>
      </c>
      <c r="E19" s="4">
        <f>+'HC Median Houshold Income'!E19</f>
        <v>5094.416666666667</v>
      </c>
    </row>
    <row r="20" spans="2:7" x14ac:dyDescent="0.25">
      <c r="B20" s="3">
        <v>2020</v>
      </c>
      <c r="C20" s="4">
        <f>+'Residential Rates'!P20</f>
        <v>102.19486923999999</v>
      </c>
      <c r="D20" s="6">
        <f t="shared" si="0"/>
        <v>1.8788124017649222E-2</v>
      </c>
      <c r="E20" s="4">
        <f>+'HC Median Houshold Income'!E20</f>
        <v>5439.333333333333</v>
      </c>
    </row>
    <row r="21" spans="2:7" x14ac:dyDescent="0.25">
      <c r="B21" s="3">
        <v>2021</v>
      </c>
      <c r="C21" s="4">
        <f>+'Residential Rates'!P21</f>
        <v>118.07179192</v>
      </c>
      <c r="D21" s="6">
        <f t="shared" si="0"/>
        <v>2.1526960756024189E-2</v>
      </c>
      <c r="E21" s="4">
        <f>+'HC Median Houshold Income'!E21</f>
        <v>5484.833333333333</v>
      </c>
    </row>
    <row r="22" spans="2:7" x14ac:dyDescent="0.25">
      <c r="B22" s="3">
        <v>2022</v>
      </c>
      <c r="C22" s="4">
        <f>+'Residential Rates'!P22</f>
        <v>132.17435567000001</v>
      </c>
      <c r="D22" s="6">
        <f t="shared" si="0"/>
        <v>2.1407354038142288E-2</v>
      </c>
      <c r="E22" s="4">
        <f>+'HC Median Houshold Income'!E22</f>
        <v>6174.25</v>
      </c>
    </row>
    <row r="23" spans="2:7" x14ac:dyDescent="0.25">
      <c r="B23" s="3">
        <v>2023</v>
      </c>
      <c r="C23" s="4">
        <f>+'Residential Rates'!P23</f>
        <v>161.12820110000004</v>
      </c>
      <c r="D23" s="6">
        <f t="shared" si="0"/>
        <v>2.5231800959018891E-2</v>
      </c>
      <c r="E23" s="4">
        <f>+'HC Median Houshold Income'!E23</f>
        <v>6385.9175713101904</v>
      </c>
    </row>
    <row r="24" spans="2:7" x14ac:dyDescent="0.25">
      <c r="B24" s="3">
        <v>2024</v>
      </c>
      <c r="C24" s="4">
        <f>+'Residential Rates'!P24</f>
        <v>136.44102223000002</v>
      </c>
      <c r="D24" s="6">
        <f t="shared" si="0"/>
        <v>2.0537328096137487E-2</v>
      </c>
      <c r="E24" s="4">
        <f>+'HC Median Houshold Income'!E24</f>
        <v>6643.5624727474096</v>
      </c>
    </row>
    <row r="25" spans="2:7" x14ac:dyDescent="0.25">
      <c r="B25" s="3">
        <v>2025</v>
      </c>
      <c r="C25" s="4">
        <f>+'Residential Rates'!P25</f>
        <v>151.44096503151363</v>
      </c>
      <c r="D25" s="6">
        <f t="shared" si="0"/>
        <v>2.1874317654566419E-2</v>
      </c>
      <c r="E25" s="4">
        <f>+'HC Median Houshold Income'!E25</f>
        <v>6923.2315002017558</v>
      </c>
      <c r="F25" s="25"/>
      <c r="G25" s="25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25C4885EF66B48AAFD9E4A9CC8BF5E" ma:contentTypeVersion="6" ma:contentTypeDescription="Create a new document." ma:contentTypeScope="" ma:versionID="1f64fc7651a58d0d3dd1c1c3942cb9ee">
  <xsd:schema xmlns:xsd="http://www.w3.org/2001/XMLSchema" xmlns:xs="http://www.w3.org/2001/XMLSchema" xmlns:p="http://schemas.microsoft.com/office/2006/metadata/properties" xmlns:ns2="6c16c6fc-c4e8-4518-9db1-1a3dadac20d5" xmlns:ns3="f5f9a743-18e3-40ef-b0a4-47096f190587" targetNamespace="http://schemas.microsoft.com/office/2006/metadata/properties" ma:root="true" ma:fieldsID="7adb9e511321a7b0e7d89229c647733f" ns2:_="" ns3:_="">
    <xsd:import namespace="6c16c6fc-c4e8-4518-9db1-1a3dadac20d5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6c6fc-c4e8-4518-9db1-1a3dadac20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42CC79-1809-4FBA-9803-6A0098C45286}"/>
</file>

<file path=customXml/itemProps2.xml><?xml version="1.0" encoding="utf-8"?>
<ds:datastoreItem xmlns:ds="http://schemas.openxmlformats.org/officeDocument/2006/customXml" ds:itemID="{DADCA773-D00D-420F-BDF5-E9C8D8366BE5}"/>
</file>

<file path=customXml/itemProps3.xml><?xml version="1.0" encoding="utf-8"?>
<ds:datastoreItem xmlns:ds="http://schemas.openxmlformats.org/officeDocument/2006/customXml" ds:itemID="{453D4824-FEA3-476A-8BC9-D3929284BA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Residential Use per Customer</vt:lpstr>
      <vt:lpstr>Residential Rates</vt:lpstr>
      <vt:lpstr>HC Median Houshold Income</vt:lpstr>
      <vt:lpstr>LIHEAP Qualification Income</vt:lpstr>
      <vt:lpstr>LIHEAP Threshold Graph</vt:lpstr>
      <vt:lpstr>Historical Poverty Guide</vt:lpstr>
      <vt:lpstr>Federal Poverty</vt:lpstr>
      <vt:lpstr>150% Poverty Threshold Graph</vt:lpstr>
      <vt:lpstr>Median Household Income Graph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2024-07-08T16:23:53Z</dcterms:created>
  <dcterms:modified xsi:type="dcterms:W3CDTF">2024-07-08T16:23:53Z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2024-07-08T16:23:53Z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ab01c121-b1ea-4993-9ed5-28cb7d6abfac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0x0101000C25C4885EF66B48AAFD9E4A9CC8BF5E</vt:lpwstr>
  </property>
</Properties>
</file>